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Q:\7a System\Test\"/>
    </mc:Choice>
  </mc:AlternateContent>
  <xr:revisionPtr revIDLastSave="0" documentId="13_ncr:1_{83996B53-6A89-4668-A84F-B99B761D90C7}" xr6:coauthVersionLast="47" xr6:coauthVersionMax="47" xr10:uidLastSave="{00000000-0000-0000-0000-000000000000}"/>
  <bookViews>
    <workbookView xWindow="-120" yWindow="-120" windowWidth="38640" windowHeight="21120" xr2:uid="{4BB88087-7051-4BE9-A052-C69FDC7DFAB0}"/>
  </bookViews>
  <sheets>
    <sheet name="Gty Fee" sheetId="1" r:id="rId1"/>
    <sheet name="Formulas" sheetId="2" state="veryHidden" r:id="rId2"/>
    <sheet name="Gty Fee Instructions" sheetId="3" r:id="rId3"/>
  </sheets>
  <externalReferences>
    <externalReference r:id="rId4"/>
  </externalReferences>
  <definedNames>
    <definedName name="AppNumber">[1]DataSheet!$D$16</definedName>
    <definedName name="LoanID">[1]DataSheet!$D$23</definedName>
    <definedName name="LoanName">[1]DataSheet!$D$24</definedName>
    <definedName name="LoanType">[1]DataSheet!$D$25</definedName>
    <definedName name="PandIPmtAmt">[1]DataSheet!$D$27</definedName>
    <definedName name="_xlnm.Print_Area" localSheetId="1">Formulas!$B$2:$L$49</definedName>
    <definedName name="_xlnm.Print_Area" localSheetId="0">'Gty Fee'!$B$2:$L$50</definedName>
    <definedName name="_xlnm.Print_Area" localSheetId="2">'Gty Fee Instructions'!$B$1:$B$17</definedName>
    <definedName name="Tot_Gty_Amt">Formulas!$O$29</definedName>
    <definedName name="Tot_Ln_Amt">Formulas!$O$28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2" l="1"/>
  <c r="G14" i="2"/>
  <c r="G21" i="2"/>
  <c r="B16" i="3" l="1"/>
  <c r="F34" i="2"/>
  <c r="F33" i="2"/>
  <c r="I29" i="2"/>
  <c r="I31" i="1" s="1"/>
  <c r="H29" i="2"/>
  <c r="G29" i="2"/>
  <c r="I28" i="2"/>
  <c r="I30" i="1" s="1"/>
  <c r="H28" i="2"/>
  <c r="G28" i="2"/>
  <c r="I27" i="2"/>
  <c r="I29" i="1" s="1"/>
  <c r="H27" i="2"/>
  <c r="G27" i="2"/>
  <c r="O23" i="2"/>
  <c r="G23" i="2"/>
  <c r="O22" i="2"/>
  <c r="G22" i="2"/>
  <c r="O21" i="2"/>
  <c r="I20" i="2"/>
  <c r="I22" i="1" s="1"/>
  <c r="H20" i="2"/>
  <c r="G20" i="2"/>
  <c r="J15" i="2"/>
  <c r="H13" i="2"/>
  <c r="G13" i="2"/>
  <c r="G10" i="2"/>
  <c r="L50" i="1"/>
  <c r="K22" i="1"/>
  <c r="J22" i="1"/>
  <c r="G15" i="2" l="1"/>
  <c r="E16" i="2" s="1" a="1"/>
  <c r="E16" i="2" s="1"/>
  <c r="O13" i="2"/>
  <c r="H23" i="2"/>
  <c r="H25" i="1" s="1"/>
  <c r="I23" i="2" s="1"/>
  <c r="I25" i="1" s="1"/>
  <c r="H10" i="2"/>
  <c r="H12" i="1" s="1"/>
  <c r="I10" i="2" s="1"/>
  <c r="I13" i="2"/>
  <c r="G24" i="2"/>
  <c r="H21" i="2"/>
  <c r="H23" i="1" s="1"/>
  <c r="I21" i="2" s="1"/>
  <c r="I23" i="1" s="1"/>
  <c r="H22" i="2"/>
  <c r="H24" i="1" s="1"/>
  <c r="I22" i="2" s="1"/>
  <c r="I24" i="1" s="1"/>
  <c r="I12" i="1" l="1"/>
  <c r="E18" i="1"/>
  <c r="I24" i="2"/>
  <c r="J24" i="2" s="1" a="1"/>
  <c r="J24" i="2" s="1"/>
  <c r="J12" i="1"/>
  <c r="G26" i="1"/>
  <c r="O28" i="2"/>
  <c r="I15" i="1"/>
  <c r="N6" i="2" l="1" a="1"/>
  <c r="N6" i="2" s="1"/>
  <c r="J16" i="2" s="1"/>
  <c r="N9" i="2"/>
  <c r="N24" i="2" a="1"/>
  <c r="N24" i="2" s="1"/>
  <c r="H14" i="2"/>
  <c r="H16" i="1" s="1"/>
  <c r="I14" i="2" s="1"/>
  <c r="O24" i="2" s="1" a="1"/>
  <c r="O24" i="2" s="1"/>
  <c r="I26" i="1"/>
  <c r="K21" i="2" s="1"/>
  <c r="K13" i="2" l="1"/>
  <c r="K10" i="2"/>
  <c r="K12" i="1" s="1"/>
  <c r="N26" i="2"/>
  <c r="K23" i="1"/>
  <c r="K23" i="2"/>
  <c r="K25" i="1" s="1"/>
  <c r="O29" i="2"/>
  <c r="K14" i="2" s="1" a="1"/>
  <c r="K14" i="2" s="1"/>
  <c r="I16" i="2"/>
  <c r="C36" i="2"/>
  <c r="C38" i="1" s="1"/>
  <c r="E15" i="2"/>
  <c r="E17" i="1" s="1"/>
  <c r="I16" i="1"/>
  <c r="K22" i="2"/>
  <c r="K24" i="1" s="1"/>
  <c r="J14" i="2" l="1"/>
  <c r="J16" i="1" s="1"/>
  <c r="K24" i="2"/>
  <c r="K26" i="1" s="1"/>
  <c r="K16" i="2"/>
  <c r="J13" i="2"/>
  <c r="J15" i="1" s="1"/>
  <c r="O30" i="2" a="1"/>
  <c r="O30" i="2" s="1"/>
  <c r="K34" i="2" l="1" a="1"/>
  <c r="K34" i="2" s="1"/>
  <c r="K36" i="1" s="1"/>
  <c r="J21" i="2"/>
  <c r="J23" i="1" s="1"/>
  <c r="J23" i="2"/>
  <c r="J25" i="1" s="1"/>
  <c r="K15" i="1"/>
  <c r="K32" i="2"/>
  <c r="K16" i="1"/>
  <c r="J22" i="2"/>
  <c r="J24" i="1" s="1"/>
  <c r="K33" i="2" l="1"/>
  <c r="K35" i="1" s="1"/>
  <c r="K36" i="2"/>
  <c r="K38" i="2"/>
  <c r="K39" i="1" s="1"/>
  <c r="K3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<sst xmlns="http://schemas.openxmlformats.org/spreadsheetml/2006/main" count="164" uniqueCount="104">
  <si>
    <t xml:space="preserve">SBA 7(a) Loan Guaranty Fee Calculator
</t>
  </si>
  <si>
    <t xml:space="preserve"> Note: If the fee calculated in this worksheet should differ from what is calculated when the loan is funded in E-tran, the amount calculated by E-tran will prevail.</t>
  </si>
  <si>
    <t>Enter New Loan to be Approved in the Section (enter one loan only)</t>
  </si>
  <si>
    <t xml:space="preserve"> Short-Term Loans (maturities of 12 months, or less)</t>
  </si>
  <si>
    <t>Loan Amount</t>
  </si>
  <si>
    <t>Gty %</t>
  </si>
  <si>
    <t>Gty Amount</t>
  </si>
  <si>
    <t>Gty Rate</t>
  </si>
  <si>
    <t>Guaranty Fee</t>
  </si>
  <si>
    <t xml:space="preserve"> Loans with Maturites &gt; 12 months</t>
  </si>
  <si>
    <t>Express Loan Amount</t>
  </si>
  <si>
    <t>Non-Express Loan Amount</t>
  </si>
  <si>
    <r>
      <t xml:space="preserve">If </t>
    </r>
    <r>
      <rPr>
        <b/>
        <sz val="14"/>
        <color theme="1"/>
        <rFont val="Aptos Narrow"/>
        <family val="2"/>
        <scheme val="minor"/>
      </rPr>
      <t>EWCP or WCP</t>
    </r>
    <r>
      <rPr>
        <sz val="14"/>
        <color theme="1"/>
        <rFont val="Aptos Narrow"/>
        <family val="2"/>
        <scheme val="minor"/>
      </rPr>
      <t>, Loan Term Mos:</t>
    </r>
  </si>
  <si>
    <t>Enter Existing 7(a) Loans Below</t>
  </si>
  <si>
    <t>EXISTING 7(a) Loans with Maturities &gt; 12 Months</t>
  </si>
  <si>
    <t>Loans Approved Within the Last 90 Days.*</t>
  </si>
  <si>
    <t>EXISTING 7(a) Loans Approved Within the Last 90 Days</t>
  </si>
  <si>
    <t>Gty Fee Paid</t>
  </si>
  <si>
    <t>EXISTING Vet Loan made within last 90 days</t>
  </si>
  <si>
    <t>Last Loan made within last 90 days</t>
  </si>
  <si>
    <t>Prior Loan made within last 90 days</t>
  </si>
  <si>
    <t xml:space="preserve">  Total For All Non-Vet Loans Approved Within Last 90 Days</t>
  </si>
  <si>
    <t xml:space="preserve"> </t>
  </si>
  <si>
    <t>EXISTING 7(a) Loans Approved &gt; 90 Days Ago</t>
  </si>
  <si>
    <t>Loan Balance</t>
  </si>
  <si>
    <t>1st SBA Loan Made &gt; 90 days ago</t>
  </si>
  <si>
    <t>2nd SBA Loan Made &gt; 90 days ago</t>
  </si>
  <si>
    <t>3rd SBA LoanMade &gt; 90 days ago</t>
  </si>
  <si>
    <t>* If the Guaranty Fee shown here differs from what is shown in E-Tran, enter the amount shown in E-tran.</t>
  </si>
  <si>
    <t>Gty Fee Due</t>
  </si>
  <si>
    <t>Existing 504 Guarantees</t>
  </si>
  <si>
    <t xml:space="preserve">Fee for This Loan Guaranty Amount </t>
  </si>
  <si>
    <t>1st 504 Loan</t>
  </si>
  <si>
    <t xml:space="preserve">Add'l Fee Resulting from Existing Loan(s) </t>
  </si>
  <si>
    <t>2nd 504 Loan</t>
  </si>
  <si>
    <t xml:space="preserve">Total Fee Due for this New Loan </t>
  </si>
  <si>
    <r>
      <t>Net Loan Amount</t>
    </r>
    <r>
      <rPr>
        <sz val="14"/>
        <color theme="1"/>
        <rFont val="Aptos Narrow"/>
        <family val="2"/>
        <scheme val="minor"/>
      </rPr>
      <t xml:space="preserve"> (after fees, when financed)</t>
    </r>
    <r>
      <rPr>
        <b/>
        <sz val="14"/>
        <color theme="1"/>
        <rFont val="Aptos Narrow"/>
        <family val="2"/>
        <scheme val="minor"/>
      </rPr>
      <t xml:space="preserve"> </t>
    </r>
  </si>
  <si>
    <t>Notes:</t>
  </si>
  <si>
    <t>The Upfront Guaranty Fees calculated here are for all 7(a) loans approved October 1, 2024, through September 30, 2025.</t>
  </si>
  <si>
    <t xml:space="preserve"> (please see SBA Notices 5000-858936 &amp; 5000-859410)</t>
  </si>
  <si>
    <t xml:space="preserve">Total Fees for all Loans </t>
  </si>
  <si>
    <t>ii. Guaranty Fee Calculation for Multiple Loans Within 90 Days.</t>
  </si>
  <si>
    <t>a)</t>
  </si>
  <si>
    <t>If more than one loan (with maturities exceeding 12 months) is approved for an Applicant, including loans approved to its affiliates, within 90 days of each other, the loans are considered as one loan for the purpose of determining the percentage of guaranty and the guaranty fee calculation. This rule applies regardless of whether the loans were approved by the same or different 7(a) Lenders.</t>
  </si>
  <si>
    <t>b)</t>
  </si>
  <si>
    <t>When two or more loans are approved within 90 calendar days of each other, the applicable fee for the subsequent loans is equal to the guaranty fee that would have been charged had all the loans been combined into one loan. The applicable fee for the subsequent loan(s) will equal the amount of the fee that would have been charged had the loans been combined, less the amount of the fee from the first loan approved.</t>
  </si>
  <si>
    <t>c)</t>
  </si>
  <si>
    <t>When the Applicant receives both a short and long term 7(a) loan, the percentage of guaranty is calculated as if the loans are combined, but the guaranty fee is based solely on the maturity of each loan.</t>
  </si>
  <si>
    <t>d)</t>
  </si>
  <si>
    <t>If a short-term loan that was made within 90 days of a long term loan is renewed and the maturity is extended beyond 12 months, the guaranty fee calculated at the time of renewal would equal the fee that would have been charged if both loans were originally long term. The amount owed SBA at the time of renewal would equal the recalculated guaranty fee less the amount paid at the time of original approval.</t>
  </si>
  <si>
    <t>e)</t>
  </si>
  <si>
    <t>This rule also applies to any subsequent increases to either of the loans made within the 90 day period, even if one of the loans subsequently is paid in full.</t>
  </si>
  <si>
    <t xml:space="preserve">     Developed by 7(a) LGPC</t>
  </si>
  <si>
    <t>(FY 2024 Only)</t>
  </si>
  <si>
    <t>Below Cell Must Remain Unlocked</t>
  </si>
  <si>
    <t>&lt;--- Non-Vet Express Loan Amount</t>
  </si>
  <si>
    <t xml:space="preserve"> (1 = Veteran Loan, 2 = Non-Veteran Loan)</t>
  </si>
  <si>
    <t xml:space="preserve"> Existing 7(a) Loans with Maturities &gt; 12 Mos.</t>
  </si>
  <si>
    <t>Existing 7(a) Loans Approved Within the Last 90 Days</t>
  </si>
  <si>
    <t>Links to Radio Buttons</t>
  </si>
  <si>
    <t>Existing Vet Loan Approved within last 90 days</t>
  </si>
  <si>
    <t>3 Below Cells Must Remain Unlocked</t>
  </si>
  <si>
    <t>Last Loan Approved within last 90 days</t>
  </si>
  <si>
    <t xml:space="preserve"> (1 = Express Loan, 2 = ITL, 3 = Other)</t>
  </si>
  <si>
    <t>Prior Loan Approved within last 90 days</t>
  </si>
  <si>
    <t>Existing 7(a) Loans Approved &gt; 90 Days Ago</t>
  </si>
  <si>
    <t>&lt;--- So a negative value is not used in K14 calculation.</t>
  </si>
  <si>
    <t>1st SBA Loan &gt; 90 days ago</t>
  </si>
  <si>
    <t>2nd SBA Loan &gt; 90 days ago</t>
  </si>
  <si>
    <t>Tot_Ln_Amt</t>
  </si>
  <si>
    <t>Total Loan Amount* (G13+G14+G24)</t>
  </si>
  <si>
    <t>* For all non-Veteran loans approved within the last 90 days.</t>
  </si>
  <si>
    <t>3rd SBA Loan &gt; 90 days ago</t>
  </si>
  <si>
    <t>Tot_Gty_Amt</t>
  </si>
  <si>
    <t>Total Gty Amount* (I13+I14+I24)</t>
  </si>
  <si>
    <t>Rate for Total Loan Amount</t>
  </si>
  <si>
    <t>Fee for This Loan Guaranty</t>
  </si>
  <si>
    <t>Greg Prichard</t>
  </si>
  <si>
    <t xml:space="preserve">    1)  After entering existing loans, enter the new loan amount on this line when:
             This loan will have a maturity of 12 months, or less.</t>
  </si>
  <si>
    <t xml:space="preserve">    2)  After entering existing loans, enter the new loan amount on this line when:
             The new loan is an SBA Express loan.</t>
  </si>
  <si>
    <t xml:space="preserve">    3)  After entering existing loans, enter the new non-Express loan amount (Regular 7(a), CAPLine, Small, CA, or EWCP loan) on this line when:
             This loan will have a maturity of more than 12 months.</t>
  </si>
  <si>
    <t xml:space="preserve">   4)  For EWCP or WCP loans greater than $1,000,000:
             Enter the loan term from 12 and 36 months (12 to 60 for WCP). Otherwise, leave blank.</t>
  </si>
  <si>
    <t xml:space="preserve">   5)  If the maturity of the new loan will exceed 12 months, AND
          the borrower has an existing SBA 7(a)  Vetern's Advantage loan that was approved in E-tran within the previous 90 days:
                 Enter the loan amount on this line.
                 If the guaranty percentage of the the loan entered on this line differs than what is shown in the Gty % column,
                     change the guaranty percentage to the percentage shown in E-tran.
                If the guaranty fee for the the loan entered on this line differs than what is shown in the Guaranty Fee column,
                    change the fee to the fee that is shown in E-tran.
        Note: If you change the guaranty percentage on this row, it will no longer be caluclated automatically on this row.</t>
  </si>
  <si>
    <t xml:space="preserve">   6)  If the maturity of the new loan will exceed 12 months, AND
          the borrower has an existing SBA 7(a)  loan that was approved in E-tran within the previous 90 days:
                Enter the amount of the most recently approved 7(a)  loan on this line.
                To get the default guaranty percentage, select Express or ITL if the existing loan is an Express or ITL loan. Otherwise, the
                    guaranty percentage will default to the standard 7(a)  loan guaranty percentage.
                If the guaranty percentage of the the loan entered on this line differs than what is shown in the Gty % column,
                   change the guaranty percentage to the percentage shown in E-tran.
                If the guaranty fee for the the loan entered on this line differs than what is shown in the Guaranty Fee column,
                   change the fee to the fee that is shown in E-tran. Please note that the fee calculated for the exising loan will not likely be correct if
                   the existing loan was made during the previous fiscal year, and the fee structure changed for this fiscal year.
        Note: If you change the guaranty percentage on this row, it will no longer be caluclated automatically on this row.</t>
  </si>
  <si>
    <t xml:space="preserve">   7)  Same as for line 11, but when a loan was approved within 90 days of the previous loan.</t>
  </si>
  <si>
    <t xml:space="preserve">  8)  Same as for line 11, but when a loan was approved within 90 days of the previous loan.</t>
  </si>
  <si>
    <t xml:space="preserve">  9)  Enter the new loan amount on this line when:
               This loan will have a maturity of more than 12 months, AND
               the borrower has one or more existing SBA 7(a)  loans that were approved in E-tran more than 90 days ago.</t>
  </si>
  <si>
    <t xml:space="preserve">  10)  Enter the new loan amount on this line when:
              This loan will have a maturity of more than 12 months, AND
              the borrower has one or more existing SBA 7(a)  loans that were approved in E-tran more than 90 days
                  prior to the previous loan.</t>
  </si>
  <si>
    <t xml:space="preserve">  11)  Same instruction as for line 13, but as it pertains to the previous loan.</t>
  </si>
  <si>
    <t xml:space="preserve">  12)  Enter the current guaranteed amount (not loan/debenture amount)  of any outstanding 504 loan.</t>
  </si>
  <si>
    <t xml:space="preserve">  13)  Same instruction as for line 16. If more than two 504 loans exist, they may be combined on a single line.</t>
  </si>
  <si>
    <t xml:space="preserve">  14)  This is the net loan amount after deducting the guaranty fee when it is being financed as part of the loan.
              To find the gross loan amount that will result in a desired net loan amount after fees, increase the loan amount by the fee amount
                  shown, and then increase it in incremental amounts until the desired net loan amount is reached.</t>
  </si>
  <si>
    <t>LGPC Guaranty Fee Calculator Instructions</t>
  </si>
  <si>
    <t xml:space="preserve">SBA 7(a) LGPC Loan Guaranty Fee Calculator
</t>
  </si>
  <si>
    <t>You cannot enter more than one New loan.The first loan to fund must be entered as an Existing loan.</t>
  </si>
  <si>
    <t>Non-WCP Gty Fee</t>
  </si>
  <si>
    <t>Manufacturing loan &lt; $950,001</t>
  </si>
  <si>
    <t>Manufacturing loan</t>
  </si>
  <si>
    <t xml:space="preserve">         This loan is for a manufacturer (NAICS 31-22, does not apply to MARC loans)</t>
  </si>
  <si>
    <t>(FY 2026 Only)</t>
  </si>
  <si>
    <t>From Page 63 of SOP 50-10-8</t>
  </si>
  <si>
    <t>https://www.sba.gov/document/information-notice-5000-872051-7a-fees-effective-october-1-2025-fiscal-year-2026</t>
  </si>
  <si>
    <t>For additional information on FY2026 fees, see SBA Information Notice 5000-872051 which can be found at:</t>
  </si>
  <si>
    <t xml:space="preserve">v 5.2 - Last Updated 10/01/2025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</si>
</sst>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_(&quot;$&quot;* #,##0.000_);_(&quot;$&quot;* \(#,##0.000\);_(&quot;$&quot;* &quot;-&quot;???_);_(@_)"/>
  </numFmts>
  <fonts count="30" x14ac:knownFonts="1">
    <font>
      <sz val="11"/>
      <color theme="1"/>
      <name val="Aptos Narrow"/>
      <family val="2"/>
      <scheme val="minor"/>
    </font>
    <font>
      <sz val="11"/>
      <color theme="1"/>
      <name val="Aptos Narrow"/>
      <family val="2"/>
      <scheme val="minor"/>
    </font>
    <font>
      <sz val="8"/>
      <color rgb="FF000000"/>
      <name val="Segoe UI"/>
      <family val="2"/>
    </font>
    <font>
      <u/>
      <sz val="11"/>
      <color theme="10"/>
      <name val="Aptos Narrow"/>
      <family val="2"/>
      <scheme val="minor"/>
    </font>
    <font>
      <sz val="12"/>
      <color theme="1"/>
      <name val="Aptos Narrow"/>
      <family val="2"/>
      <scheme val="minor"/>
    </font>
    <font>
      <sz val="14"/>
      <color theme="1"/>
      <name val="Aptos Narrow"/>
      <family val="2"/>
      <scheme val="minor"/>
    </font>
    <font>
      <b/>
      <sz val="14"/>
      <name val="Aptos Narrow"/>
      <family val="2"/>
      <scheme val="minor"/>
    </font>
    <font>
      <b/>
      <sz val="14"/>
      <color theme="1"/>
      <name val="Aptos Narrow"/>
      <family val="2"/>
      <scheme val="minor"/>
    </font>
    <font>
      <sz val="14"/>
      <color rgb="FFFF0000"/>
      <name val="Aptos Narrow"/>
      <family val="2"/>
      <scheme val="minor"/>
    </font>
    <font>
      <b/>
      <sz val="12"/>
      <color theme="1"/>
      <name val="Aptos Narrow"/>
      <family val="2"/>
      <scheme val="minor"/>
    </font>
    <font>
      <sz val="10"/>
      <color theme="1"/>
      <name val="Aptos Narrow"/>
      <family val="2"/>
      <scheme val="minor"/>
    </font>
    <font>
      <b/>
      <sz val="14"/>
      <color rgb="FFFF0000"/>
      <name val="Aptos Narrow"/>
      <family val="2"/>
      <scheme val="minor"/>
    </font>
    <font>
      <sz val="12"/>
      <name val="Aptos Narrow"/>
      <family val="2"/>
      <scheme val="minor"/>
    </font>
    <font>
      <sz val="14"/>
      <color theme="0" tint="-0.249977111117893"/>
      <name val="Aptos Narrow"/>
      <family val="2"/>
      <scheme val="minor"/>
    </font>
    <font>
      <sz val="14"/>
      <name val="Aptos Narrow"/>
      <family val="2"/>
      <scheme val="minor"/>
    </font>
    <font>
      <sz val="12"/>
      <color theme="0" tint="-0.249977111117893"/>
      <name val="Aptos Narrow"/>
      <family val="2"/>
      <scheme val="minor"/>
    </font>
    <font>
      <b/>
      <sz val="14"/>
      <name val="Times New Roman"/>
      <family val="1"/>
    </font>
    <font>
      <b/>
      <sz val="14"/>
      <color rgb="FFFF0000"/>
      <name val="Times New Roman"/>
      <family val="1"/>
    </font>
    <font>
      <sz val="13"/>
      <color theme="1"/>
      <name val="Aptos Narrow"/>
      <family val="2"/>
      <scheme val="minor"/>
    </font>
    <font>
      <u/>
      <sz val="12"/>
      <color theme="10"/>
      <name val="Aptos Narrow"/>
      <family val="2"/>
      <scheme val="minor"/>
    </font>
    <font>
      <b/>
      <u/>
      <sz val="14"/>
      <color theme="1"/>
      <name val="Aptos Narrow"/>
      <family val="2"/>
      <scheme val="minor"/>
    </font>
    <font>
      <sz val="14"/>
      <color theme="0" tint="-4.9989318521683403E-2"/>
      <name val="Aptos Narrow"/>
      <family val="2"/>
      <scheme val="minor"/>
    </font>
    <font>
      <b/>
      <sz val="14"/>
      <color theme="0"/>
      <name val="Aptos Narrow"/>
      <family val="2"/>
      <scheme val="minor"/>
    </font>
    <font>
      <sz val="14"/>
      <color theme="0"/>
      <name val="Aptos Narrow"/>
      <family val="2"/>
      <scheme val="minor"/>
    </font>
    <font>
      <sz val="12"/>
      <color theme="0"/>
      <name val="Aptos Narrow"/>
      <family val="2"/>
      <scheme val="minor"/>
    </font>
    <font>
      <b/>
      <sz val="12.5"/>
      <color theme="1"/>
      <name val="Aptos Narrow"/>
      <family val="2"/>
      <scheme val="minor"/>
    </font>
    <font>
      <sz val="14"/>
      <color rgb="FF000000"/>
      <name val="Calibri"/>
      <family val="2"/>
    </font>
    <font>
      <sz val="14"/>
      <name val="Calibri"/>
      <family val="2"/>
    </font>
    <font>
      <sz val="14"/>
      <color theme="2" tint="-0.749992370372631"/>
      <name val="Aptos Narrow"/>
      <family val="2"/>
      <scheme val="minor"/>
    </font>
    <font>
      <sz val="16"/>
      <color theme="1"/>
      <name val="Aptos Narrow"/>
      <family val="2"/>
      <scheme val="minor"/>
    </font>
  </fonts>
  <fills count="10">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000099"/>
        <bgColor indexed="64"/>
      </patternFill>
    </fill>
    <fill>
      <patternFill patternType="solid">
        <fgColor theme="0" tint="-0.499984740745262"/>
        <bgColor indexed="64"/>
      </patternFill>
    </fill>
    <fill>
      <patternFill patternType="solid">
        <fgColor rgb="FFBFBFBF"/>
        <bgColor rgb="FF000000"/>
      </patternFill>
    </fill>
  </fills>
  <borders count="52">
    <border>
      <left/>
      <right/>
      <top/>
      <bottom/>
      <diagonal/>
    </border>
    <border>
      <left/>
      <right/>
      <top/>
      <bottom style="thick">
        <color theme="4"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auto="1"/>
      </bottom>
      <diagonal/>
    </border>
    <border>
      <left style="thin">
        <color auto="1"/>
      </left>
      <right/>
      <top style="medium">
        <color indexed="64"/>
      </top>
      <bottom style="medium">
        <color indexed="64"/>
      </bottom>
      <diagonal/>
    </border>
    <border>
      <left/>
      <right/>
      <top style="medium">
        <color indexed="64"/>
      </top>
      <bottom style="medium">
        <color rgb="FFFF0000"/>
      </bottom>
      <diagonal/>
    </border>
    <border>
      <left/>
      <right style="medium">
        <color indexed="64"/>
      </right>
      <top style="medium">
        <color indexed="64"/>
      </top>
      <bottom style="medium">
        <color rgb="FFFF0000"/>
      </bottom>
      <diagonal/>
    </border>
    <border>
      <left style="thin">
        <color auto="1"/>
      </left>
      <right style="thin">
        <color auto="1"/>
      </right>
      <top/>
      <bottom style="thin">
        <color indexed="64"/>
      </bottom>
      <diagonal/>
    </border>
    <border>
      <left style="thin">
        <color auto="1"/>
      </left>
      <right style="medium">
        <color indexed="64"/>
      </right>
      <top/>
      <bottom style="thin">
        <color indexed="64"/>
      </bottom>
      <diagonal/>
    </border>
    <border>
      <left style="thin">
        <color auto="1"/>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style="thin">
        <color auto="1"/>
      </left>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s>
  <cellStyleXfs count="8">
    <xf numFmtId="0" fontId="0" fillId="0" borderId="0"/>
    <xf numFmtId="0" fontId="3" fillId="0" borderId="0" applyNumberFormat="0" applyFill="0" applyBorder="0" applyAlignment="0" applyProtection="0"/>
    <xf numFmtId="0" fontId="4" fillId="0" borderId="0"/>
    <xf numFmtId="0" fontId="6" fillId="0" borderId="6" applyNumberFormat="0" applyFont="0" applyFill="0" applyAlignment="0" applyProtection="0"/>
    <xf numFmtId="0" fontId="6" fillId="0" borderId="1" applyNumberFormat="0" applyFill="0" applyBorder="0" applyAlignment="0" applyProtection="0"/>
    <xf numFmtId="44" fontId="4" fillId="0" borderId="0" applyFont="0" applyFill="0" applyBorder="0" applyAlignment="0" applyProtection="0"/>
    <xf numFmtId="0" fontId="19" fillId="0" borderId="0" applyNumberFormat="0" applyFill="0" applyBorder="0" applyAlignment="0" applyProtection="0"/>
    <xf numFmtId="0" fontId="1" fillId="0" borderId="0"/>
  </cellStyleXfs>
  <cellXfs count="311">
    <xf numFmtId="0" fontId="0" fillId="0" borderId="0" xfId="0"/>
    <xf numFmtId="0" fontId="5" fillId="2" borderId="2" xfId="2" applyFont="1" applyFill="1" applyBorder="1" applyAlignment="1">
      <alignment vertical="top"/>
    </xf>
    <xf numFmtId="0" fontId="5" fillId="2" borderId="3" xfId="2" applyFont="1" applyFill="1" applyBorder="1" applyAlignment="1">
      <alignment vertical="top" wrapText="1"/>
    </xf>
    <xf numFmtId="0" fontId="5" fillId="2" borderId="3" xfId="2" applyFont="1" applyFill="1" applyBorder="1" applyAlignment="1">
      <alignment vertical="top"/>
    </xf>
    <xf numFmtId="0" fontId="5" fillId="2" borderId="4" xfId="2" applyFont="1" applyFill="1" applyBorder="1" applyAlignment="1">
      <alignment vertical="top"/>
    </xf>
    <xf numFmtId="0" fontId="5" fillId="2" borderId="0" xfId="2" applyFont="1" applyFill="1" applyAlignment="1">
      <alignment vertical="top"/>
    </xf>
    <xf numFmtId="0" fontId="5" fillId="2" borderId="5" xfId="2" applyFont="1" applyFill="1" applyBorder="1" applyAlignment="1">
      <alignment vertical="top"/>
    </xf>
    <xf numFmtId="0" fontId="7" fillId="3" borderId="3" xfId="2" applyFont="1" applyFill="1" applyBorder="1" applyAlignment="1">
      <alignment horizontal="centerContinuous" vertical="top"/>
    </xf>
    <xf numFmtId="0" fontId="5" fillId="3" borderId="3" xfId="2" applyFont="1" applyFill="1" applyBorder="1" applyAlignment="1">
      <alignment horizontal="centerContinuous" vertical="top"/>
    </xf>
    <xf numFmtId="0" fontId="5" fillId="3" borderId="4" xfId="2" applyFont="1" applyFill="1" applyBorder="1" applyAlignment="1">
      <alignment horizontal="centerContinuous" vertical="top"/>
    </xf>
    <xf numFmtId="0" fontId="5" fillId="2" borderId="7" xfId="2" applyFont="1" applyFill="1" applyBorder="1" applyAlignment="1">
      <alignment vertical="top"/>
    </xf>
    <xf numFmtId="0" fontId="7" fillId="3" borderId="8" xfId="2" applyFont="1" applyFill="1" applyBorder="1" applyAlignment="1">
      <alignment horizontal="centerContinuous" vertical="top"/>
    </xf>
    <xf numFmtId="0" fontId="7" fillId="3" borderId="9" xfId="2" applyFont="1" applyFill="1" applyBorder="1" applyAlignment="1">
      <alignment horizontal="centerContinuous" vertical="top"/>
    </xf>
    <xf numFmtId="0" fontId="5" fillId="3" borderId="9" xfId="2" applyFont="1" applyFill="1" applyBorder="1" applyAlignment="1">
      <alignment horizontal="centerContinuous" vertical="top"/>
    </xf>
    <xf numFmtId="0" fontId="5" fillId="3" borderId="10" xfId="2" applyFont="1" applyFill="1" applyBorder="1" applyAlignment="1">
      <alignment horizontal="centerContinuous" vertical="top"/>
    </xf>
    <xf numFmtId="0" fontId="8" fillId="2" borderId="0" xfId="2" applyFont="1" applyFill="1" applyAlignment="1">
      <alignment horizontal="centerContinuous" vertical="top"/>
    </xf>
    <xf numFmtId="0" fontId="7" fillId="2" borderId="0" xfId="2" applyFont="1" applyFill="1" applyAlignment="1">
      <alignment horizontal="centerContinuous" vertical="top" wrapText="1"/>
    </xf>
    <xf numFmtId="0" fontId="8" fillId="2" borderId="0" xfId="2" applyFont="1" applyFill="1" applyAlignment="1">
      <alignment horizontal="center" vertical="top"/>
    </xf>
    <xf numFmtId="0" fontId="5" fillId="2" borderId="0" xfId="2" applyFont="1" applyFill="1" applyAlignment="1">
      <alignment horizontal="centerContinuous" vertical="top"/>
    </xf>
    <xf numFmtId="0" fontId="5" fillId="2" borderId="5" xfId="2" applyFont="1" applyFill="1" applyBorder="1" applyAlignment="1">
      <alignment vertical="center"/>
    </xf>
    <xf numFmtId="0" fontId="9" fillId="3" borderId="11" xfId="2" applyFont="1" applyFill="1" applyBorder="1" applyAlignment="1">
      <alignment horizontal="left" vertical="center"/>
    </xf>
    <xf numFmtId="0" fontId="7" fillId="3" borderId="12" xfId="2" applyFont="1" applyFill="1" applyBorder="1" applyAlignment="1">
      <alignment horizontal="center" vertical="center"/>
    </xf>
    <xf numFmtId="0" fontId="5" fillId="3" borderId="12" xfId="2" applyFont="1" applyFill="1" applyBorder="1" applyAlignment="1">
      <alignment horizontal="center" vertical="center"/>
    </xf>
    <xf numFmtId="0" fontId="5" fillId="3" borderId="13" xfId="2" applyFont="1" applyFill="1" applyBorder="1" applyAlignment="1">
      <alignment horizontal="center" vertical="center"/>
    </xf>
    <xf numFmtId="0" fontId="5" fillId="2" borderId="7" xfId="2" applyFont="1" applyFill="1" applyBorder="1" applyAlignment="1">
      <alignment vertical="center"/>
    </xf>
    <xf numFmtId="0" fontId="5" fillId="2" borderId="0" xfId="2" applyFont="1" applyFill="1" applyAlignment="1">
      <alignment vertical="center"/>
    </xf>
    <xf numFmtId="0" fontId="5" fillId="2" borderId="0" xfId="2" applyFont="1" applyFill="1" applyAlignment="1">
      <alignment vertical="top" wrapText="1"/>
    </xf>
    <xf numFmtId="0" fontId="5" fillId="4" borderId="12" xfId="2" applyFont="1" applyFill="1" applyBorder="1" applyAlignment="1">
      <alignment horizontal="centerContinuous" vertical="center"/>
    </xf>
    <xf numFmtId="0" fontId="5" fillId="4" borderId="13" xfId="2" applyFont="1" applyFill="1" applyBorder="1" applyAlignment="1">
      <alignment horizontal="centerContinuous" vertical="center"/>
    </xf>
    <xf numFmtId="0" fontId="7" fillId="3" borderId="11" xfId="2" applyFont="1" applyFill="1" applyBorder="1" applyAlignment="1">
      <alignment vertical="top"/>
    </xf>
    <xf numFmtId="0" fontId="7" fillId="3" borderId="12" xfId="2" applyFont="1" applyFill="1" applyBorder="1" applyAlignment="1">
      <alignment vertical="top"/>
    </xf>
    <xf numFmtId="0" fontId="7" fillId="3" borderId="14" xfId="2" applyFont="1" applyFill="1" applyBorder="1" applyAlignment="1">
      <alignment vertical="top"/>
    </xf>
    <xf numFmtId="0" fontId="7" fillId="3" borderId="15" xfId="2" applyFont="1" applyFill="1" applyBorder="1" applyAlignment="1">
      <alignment horizontal="center" vertical="center" wrapText="1"/>
    </xf>
    <xf numFmtId="0" fontId="7" fillId="3" borderId="16" xfId="2" applyFont="1" applyFill="1" applyBorder="1" applyAlignment="1">
      <alignment horizontal="center" vertical="center" wrapText="1"/>
    </xf>
    <xf numFmtId="0" fontId="10" fillId="2" borderId="5" xfId="2" applyFont="1" applyFill="1" applyBorder="1" applyAlignment="1">
      <alignment horizontal="center" vertical="center"/>
    </xf>
    <xf numFmtId="0" fontId="5" fillId="3" borderId="17" xfId="2" applyFont="1" applyFill="1" applyBorder="1" applyAlignment="1">
      <alignment vertical="top"/>
    </xf>
    <xf numFmtId="0" fontId="5" fillId="3" borderId="18" xfId="2" applyFont="1" applyFill="1" applyBorder="1" applyAlignment="1">
      <alignment vertical="top"/>
    </xf>
    <xf numFmtId="0" fontId="5" fillId="3" borderId="19" xfId="2" applyFont="1" applyFill="1" applyBorder="1" applyAlignment="1">
      <alignment vertical="top"/>
    </xf>
    <xf numFmtId="44" fontId="5" fillId="0" borderId="20" xfId="5" applyFont="1" applyFill="1" applyBorder="1" applyAlignment="1" applyProtection="1">
      <alignment vertical="top" wrapText="1"/>
      <protection locked="0"/>
    </xf>
    <xf numFmtId="10" fontId="5" fillId="3" borderId="21" xfId="2" applyNumberFormat="1" applyFont="1" applyFill="1" applyBorder="1" applyAlignment="1" applyProtection="1">
      <alignment horizontal="center" vertical="center" wrapText="1"/>
      <protection locked="0"/>
    </xf>
    <xf numFmtId="44" fontId="5" fillId="0" borderId="20" xfId="5" applyFont="1" applyFill="1" applyBorder="1" applyAlignment="1">
      <alignment vertical="top"/>
    </xf>
    <xf numFmtId="10" fontId="5" fillId="3" borderId="20" xfId="2" applyNumberFormat="1" applyFont="1" applyFill="1" applyBorder="1" applyAlignment="1">
      <alignment horizontal="center" vertical="top"/>
    </xf>
    <xf numFmtId="44" fontId="5" fillId="0" borderId="22" xfId="5" applyFont="1" applyFill="1" applyBorder="1" applyAlignment="1">
      <alignment vertical="top"/>
    </xf>
    <xf numFmtId="44" fontId="5" fillId="2" borderId="3" xfId="5" applyFont="1" applyFill="1" applyBorder="1" applyAlignment="1">
      <alignment vertical="top"/>
    </xf>
    <xf numFmtId="9" fontId="5" fillId="2" borderId="3" xfId="2" applyNumberFormat="1" applyFont="1" applyFill="1" applyBorder="1" applyAlignment="1">
      <alignment vertical="top"/>
    </xf>
    <xf numFmtId="10" fontId="5" fillId="2" borderId="3" xfId="2" applyNumberFormat="1" applyFont="1" applyFill="1" applyBorder="1" applyAlignment="1">
      <alignment vertical="top"/>
    </xf>
    <xf numFmtId="44" fontId="5" fillId="2" borderId="4" xfId="5" applyFont="1" applyFill="1" applyBorder="1" applyAlignment="1">
      <alignment vertical="top"/>
    </xf>
    <xf numFmtId="0" fontId="5" fillId="2" borderId="7" xfId="2" applyFont="1" applyFill="1" applyBorder="1" applyAlignment="1">
      <alignment vertical="top" wrapText="1"/>
    </xf>
    <xf numFmtId="0" fontId="7" fillId="3" borderId="17" xfId="2" applyFont="1" applyFill="1" applyBorder="1" applyAlignment="1">
      <alignment vertical="top"/>
    </xf>
    <xf numFmtId="0" fontId="5" fillId="3" borderId="23" xfId="2" applyFont="1" applyFill="1" applyBorder="1" applyAlignment="1">
      <alignment vertical="center"/>
    </xf>
    <xf numFmtId="10" fontId="5" fillId="3" borderId="20" xfId="2" applyNumberFormat="1" applyFont="1" applyFill="1" applyBorder="1" applyAlignment="1" applyProtection="1">
      <alignment horizontal="center" vertical="center" wrapText="1"/>
      <protection locked="0"/>
    </xf>
    <xf numFmtId="164" fontId="5" fillId="3" borderId="20" xfId="2" applyNumberFormat="1" applyFont="1" applyFill="1" applyBorder="1" applyAlignment="1">
      <alignment horizontal="center" vertical="top"/>
    </xf>
    <xf numFmtId="0" fontId="5" fillId="3" borderId="24" xfId="2" applyFont="1" applyFill="1" applyBorder="1" applyAlignment="1">
      <alignment vertical="top" wrapText="1"/>
    </xf>
    <xf numFmtId="0" fontId="5" fillId="3" borderId="25" xfId="2" applyFont="1" applyFill="1" applyBorder="1" applyAlignment="1">
      <alignment vertical="top"/>
    </xf>
    <xf numFmtId="0" fontId="5" fillId="3" borderId="26" xfId="2" applyFont="1" applyFill="1" applyBorder="1" applyAlignment="1">
      <alignment vertical="top"/>
    </xf>
    <xf numFmtId="44" fontId="5" fillId="0" borderId="21" xfId="5" applyFont="1" applyFill="1" applyBorder="1" applyAlignment="1" applyProtection="1">
      <alignment vertical="top" wrapText="1"/>
      <protection locked="0"/>
    </xf>
    <xf numFmtId="44" fontId="5" fillId="0" borderId="27" xfId="5" applyFont="1" applyFill="1" applyBorder="1" applyAlignment="1">
      <alignment vertical="top"/>
    </xf>
    <xf numFmtId="164" fontId="5" fillId="3" borderId="21" xfId="2" applyNumberFormat="1" applyFont="1" applyFill="1" applyBorder="1" applyAlignment="1">
      <alignment horizontal="center" vertical="top"/>
    </xf>
    <xf numFmtId="44" fontId="5" fillId="0" borderId="28" xfId="5" applyFont="1" applyFill="1" applyBorder="1" applyAlignment="1">
      <alignment vertical="top"/>
    </xf>
    <xf numFmtId="0" fontId="5" fillId="3" borderId="29" xfId="2" applyFont="1" applyFill="1" applyBorder="1" applyAlignment="1">
      <alignment vertical="top"/>
    </xf>
    <xf numFmtId="0" fontId="5" fillId="3" borderId="30" xfId="2" applyFont="1" applyFill="1" applyBorder="1" applyAlignment="1">
      <alignment vertical="top"/>
    </xf>
    <xf numFmtId="0" fontId="5" fillId="3" borderId="30" xfId="2" applyFont="1" applyFill="1" applyBorder="1" applyAlignment="1">
      <alignment horizontal="left" vertical="top"/>
    </xf>
    <xf numFmtId="0" fontId="5" fillId="3" borderId="31" xfId="2" applyFont="1" applyFill="1" applyBorder="1" applyAlignment="1">
      <alignment vertical="top"/>
    </xf>
    <xf numFmtId="10" fontId="5" fillId="5" borderId="11" xfId="2" applyNumberFormat="1" applyFont="1" applyFill="1" applyBorder="1" applyAlignment="1" applyProtection="1">
      <alignment vertical="center"/>
      <protection locked="0"/>
    </xf>
    <xf numFmtId="44" fontId="5" fillId="5" borderId="14" xfId="5" applyFont="1" applyFill="1" applyBorder="1" applyAlignment="1">
      <alignment vertical="center"/>
    </xf>
    <xf numFmtId="0" fontId="5" fillId="0" borderId="13" xfId="2" applyFont="1" applyBorder="1" applyAlignment="1" applyProtection="1">
      <alignment horizontal="center" vertical="center"/>
      <protection locked="0"/>
    </xf>
    <xf numFmtId="44" fontId="5" fillId="5" borderId="10" xfId="5" applyFont="1" applyFill="1" applyBorder="1" applyAlignment="1">
      <alignment vertical="center"/>
    </xf>
    <xf numFmtId="0" fontId="11" fillId="2" borderId="0" xfId="2" applyFont="1" applyFill="1" applyAlignment="1">
      <alignment vertical="center"/>
    </xf>
    <xf numFmtId="44" fontId="12" fillId="2" borderId="0" xfId="2" applyNumberFormat="1" applyFont="1" applyFill="1" applyAlignment="1">
      <alignment horizontal="center" vertical="top"/>
    </xf>
    <xf numFmtId="0" fontId="13" fillId="2" borderId="0" xfId="2" applyFont="1" applyFill="1" applyAlignment="1">
      <alignment vertical="top"/>
    </xf>
    <xf numFmtId="0" fontId="14" fillId="2" borderId="0" xfId="2" applyFont="1" applyFill="1" applyAlignment="1">
      <alignment vertical="top"/>
    </xf>
    <xf numFmtId="44" fontId="15" fillId="4" borderId="12" xfId="2" applyNumberFormat="1" applyFont="1" applyFill="1" applyBorder="1" applyAlignment="1">
      <alignment horizontal="centerContinuous" vertical="center"/>
    </xf>
    <xf numFmtId="0" fontId="13" fillId="4" borderId="12" xfId="2" applyFont="1" applyFill="1" applyBorder="1" applyAlignment="1">
      <alignment horizontal="centerContinuous" vertical="center"/>
    </xf>
    <xf numFmtId="44" fontId="15" fillId="4" borderId="13" xfId="2" applyNumberFormat="1" applyFont="1" applyFill="1" applyBorder="1" applyAlignment="1">
      <alignment horizontal="centerContinuous" vertical="center"/>
    </xf>
    <xf numFmtId="43" fontId="16" fillId="5" borderId="33" xfId="2" applyNumberFormat="1" applyFont="1" applyFill="1" applyBorder="1" applyAlignment="1">
      <alignment horizontal="centerContinuous" vertical="center" shrinkToFit="1"/>
    </xf>
    <xf numFmtId="9" fontId="11" fillId="5" borderId="34" xfId="2" applyNumberFormat="1" applyFont="1" applyFill="1" applyBorder="1" applyAlignment="1">
      <alignment horizontal="centerContinuous" vertical="center" shrinkToFit="1"/>
    </xf>
    <xf numFmtId="43" fontId="17" fillId="5" borderId="34" xfId="2" applyNumberFormat="1" applyFont="1" applyFill="1" applyBorder="1" applyAlignment="1">
      <alignment horizontal="centerContinuous" vertical="center" shrinkToFit="1"/>
    </xf>
    <xf numFmtId="0" fontId="17" fillId="5" borderId="34" xfId="2" applyFont="1" applyFill="1" applyBorder="1" applyAlignment="1">
      <alignment horizontal="centerContinuous" vertical="center" shrinkToFit="1"/>
    </xf>
    <xf numFmtId="43" fontId="17" fillId="5" borderId="35" xfId="2" applyNumberFormat="1" applyFont="1" applyFill="1" applyBorder="1" applyAlignment="1">
      <alignment horizontal="centerContinuous" vertical="center" shrinkToFit="1"/>
    </xf>
    <xf numFmtId="0" fontId="5" fillId="3" borderId="17" xfId="2" applyFont="1" applyFill="1" applyBorder="1" applyAlignment="1">
      <alignment vertical="center" wrapText="1"/>
    </xf>
    <xf numFmtId="0" fontId="5" fillId="3" borderId="18" xfId="2" applyFont="1" applyFill="1" applyBorder="1" applyAlignment="1">
      <alignment vertical="center" wrapText="1"/>
    </xf>
    <xf numFmtId="0" fontId="5" fillId="3" borderId="18" xfId="2" applyFont="1" applyFill="1" applyBorder="1" applyAlignment="1">
      <alignment vertical="center"/>
    </xf>
    <xf numFmtId="0" fontId="5" fillId="3" borderId="14" xfId="2" applyFont="1" applyFill="1" applyBorder="1" applyAlignment="1">
      <alignment vertical="center"/>
    </xf>
    <xf numFmtId="44" fontId="5" fillId="0" borderId="15" xfId="5" applyFont="1" applyFill="1" applyBorder="1" applyAlignment="1" applyProtection="1">
      <alignment vertical="center" wrapText="1"/>
      <protection locked="0"/>
    </xf>
    <xf numFmtId="10" fontId="5" fillId="3" borderId="15" xfId="2" applyNumberFormat="1" applyFont="1" applyFill="1" applyBorder="1" applyAlignment="1" applyProtection="1">
      <alignment horizontal="center" vertical="center" wrapText="1"/>
      <protection locked="0"/>
    </xf>
    <xf numFmtId="44" fontId="5" fillId="0" borderId="15" xfId="5" applyFont="1" applyFill="1" applyBorder="1" applyAlignment="1">
      <alignment vertical="center"/>
    </xf>
    <xf numFmtId="10" fontId="5" fillId="3" borderId="15" xfId="2" applyNumberFormat="1" applyFont="1" applyFill="1" applyBorder="1" applyAlignment="1">
      <alignment horizontal="center" vertical="top"/>
    </xf>
    <xf numFmtId="44" fontId="5" fillId="0" borderId="16" xfId="5" applyFont="1" applyFill="1" applyBorder="1" applyAlignment="1">
      <alignment vertical="top"/>
    </xf>
    <xf numFmtId="0" fontId="18" fillId="3" borderId="18" xfId="2" applyFont="1" applyFill="1" applyBorder="1" applyAlignment="1">
      <alignment vertical="center"/>
    </xf>
    <xf numFmtId="44" fontId="5" fillId="0" borderId="36" xfId="5" applyFont="1" applyFill="1" applyBorder="1" applyAlignment="1" applyProtection="1">
      <alignment vertical="center" wrapText="1"/>
      <protection locked="0"/>
    </xf>
    <xf numFmtId="44" fontId="5" fillId="0" borderId="36" xfId="5" applyFont="1" applyFill="1" applyBorder="1" applyAlignment="1">
      <alignment vertical="center"/>
    </xf>
    <xf numFmtId="10" fontId="5" fillId="3" borderId="36" xfId="2" applyNumberFormat="1" applyFont="1" applyFill="1" applyBorder="1" applyAlignment="1">
      <alignment horizontal="center" vertical="top"/>
    </xf>
    <xf numFmtId="44" fontId="5" fillId="0" borderId="37" xfId="5" applyFont="1" applyFill="1" applyBorder="1" applyAlignment="1" applyProtection="1">
      <alignment vertical="top"/>
      <protection locked="0"/>
    </xf>
    <xf numFmtId="0" fontId="5" fillId="3" borderId="24" xfId="2" applyFont="1" applyFill="1" applyBorder="1" applyAlignment="1">
      <alignment vertical="center" wrapText="1"/>
    </xf>
    <xf numFmtId="0" fontId="5" fillId="3" borderId="25" xfId="2" applyFont="1" applyFill="1" applyBorder="1" applyAlignment="1">
      <alignment vertical="center" wrapText="1"/>
    </xf>
    <xf numFmtId="0" fontId="18" fillId="3" borderId="25" xfId="2" applyFont="1" applyFill="1" applyBorder="1" applyAlignment="1">
      <alignment vertical="center"/>
    </xf>
    <xf numFmtId="0" fontId="5" fillId="3" borderId="26" xfId="2" applyFont="1" applyFill="1" applyBorder="1" applyAlignment="1">
      <alignment vertical="center"/>
    </xf>
    <xf numFmtId="44" fontId="5" fillId="0" borderId="21" xfId="5" applyFont="1" applyFill="1" applyBorder="1" applyAlignment="1" applyProtection="1">
      <alignment vertical="center" wrapText="1"/>
      <protection locked="0"/>
    </xf>
    <xf numFmtId="44" fontId="5" fillId="0" borderId="21" xfId="5" applyFont="1" applyFill="1" applyBorder="1" applyAlignment="1">
      <alignment vertical="center"/>
    </xf>
    <xf numFmtId="10" fontId="5" fillId="3" borderId="21" xfId="2" applyNumberFormat="1" applyFont="1" applyFill="1" applyBorder="1" applyAlignment="1">
      <alignment horizontal="center" vertical="top"/>
    </xf>
    <xf numFmtId="0" fontId="5" fillId="2" borderId="7" xfId="2" applyFont="1" applyFill="1" applyBorder="1"/>
    <xf numFmtId="0" fontId="5" fillId="2" borderId="0" xfId="2" applyFont="1" applyFill="1"/>
    <xf numFmtId="0" fontId="5" fillId="3" borderId="29" xfId="2" applyFont="1" applyFill="1" applyBorder="1" applyAlignment="1">
      <alignment vertical="center" wrapText="1"/>
    </xf>
    <xf numFmtId="0" fontId="5" fillId="3" borderId="30" xfId="2" applyFont="1" applyFill="1" applyBorder="1" applyAlignment="1">
      <alignment vertical="center" wrapText="1"/>
    </xf>
    <xf numFmtId="0" fontId="18" fillId="3" borderId="30" xfId="2" applyFont="1" applyFill="1" applyBorder="1" applyAlignment="1">
      <alignment vertical="center"/>
    </xf>
    <xf numFmtId="0" fontId="5" fillId="3" borderId="31" xfId="2" applyFont="1" applyFill="1" applyBorder="1" applyAlignment="1">
      <alignment vertical="center"/>
    </xf>
    <xf numFmtId="44" fontId="5" fillId="0" borderId="27" xfId="5" applyFont="1" applyFill="1" applyBorder="1" applyAlignment="1" applyProtection="1">
      <alignment vertical="center" wrapText="1"/>
      <protection locked="0"/>
    </xf>
    <xf numFmtId="10" fontId="5" fillId="3" borderId="27" xfId="2" applyNumberFormat="1" applyFont="1" applyFill="1" applyBorder="1" applyAlignment="1" applyProtection="1">
      <alignment horizontal="center" vertical="center" wrapText="1"/>
      <protection locked="0"/>
    </xf>
    <xf numFmtId="44" fontId="5" fillId="0" borderId="27" xfId="5" applyFont="1" applyFill="1" applyBorder="1" applyAlignment="1">
      <alignment vertical="center"/>
    </xf>
    <xf numFmtId="10" fontId="5" fillId="3" borderId="27" xfId="2" applyNumberFormat="1" applyFont="1" applyFill="1" applyBorder="1" applyAlignment="1">
      <alignment horizontal="center" vertical="top"/>
    </xf>
    <xf numFmtId="0" fontId="5" fillId="2" borderId="5" xfId="2" applyFont="1" applyFill="1" applyBorder="1"/>
    <xf numFmtId="0" fontId="7" fillId="3" borderId="11" xfId="2" applyFont="1" applyFill="1" applyBorder="1" applyAlignment="1">
      <alignment vertical="center"/>
    </xf>
    <xf numFmtId="0" fontId="5" fillId="3" borderId="12" xfId="2" applyFont="1" applyFill="1" applyBorder="1" applyAlignment="1">
      <alignment vertical="center" wrapText="1"/>
    </xf>
    <xf numFmtId="0" fontId="5" fillId="3" borderId="12" xfId="2" applyFont="1" applyFill="1" applyBorder="1" applyAlignment="1">
      <alignment horizontal="center" vertical="center" wrapText="1"/>
    </xf>
    <xf numFmtId="0" fontId="5" fillId="3" borderId="14" xfId="2" applyFont="1" applyFill="1" applyBorder="1" applyAlignment="1">
      <alignment horizontal="center" vertical="center" wrapText="1"/>
    </xf>
    <xf numFmtId="44" fontId="5" fillId="3" borderId="15" xfId="5" applyFont="1" applyFill="1" applyBorder="1" applyAlignment="1" applyProtection="1">
      <alignment vertical="center" wrapText="1"/>
    </xf>
    <xf numFmtId="9" fontId="5" fillId="2" borderId="15" xfId="2" applyNumberFormat="1" applyFont="1" applyFill="1" applyBorder="1" applyAlignment="1">
      <alignment horizontal="center" vertical="center" wrapText="1"/>
    </xf>
    <xf numFmtId="10" fontId="5" fillId="2" borderId="15" xfId="2" applyNumberFormat="1" applyFont="1" applyFill="1" applyBorder="1" applyAlignment="1">
      <alignment horizontal="center" vertical="top"/>
    </xf>
    <xf numFmtId="44" fontId="5" fillId="3" borderId="16" xfId="5" applyFont="1" applyFill="1" applyBorder="1" applyAlignment="1">
      <alignment vertical="top"/>
    </xf>
    <xf numFmtId="0" fontId="5" fillId="2" borderId="12" xfId="2" applyFont="1" applyFill="1" applyBorder="1" applyAlignment="1">
      <alignment vertical="top"/>
    </xf>
    <xf numFmtId="0" fontId="7" fillId="2" borderId="0" xfId="2" applyFont="1" applyFill="1" applyAlignment="1">
      <alignment vertical="top"/>
    </xf>
    <xf numFmtId="0" fontId="7" fillId="5" borderId="11" xfId="2" applyFont="1" applyFill="1" applyBorder="1" applyAlignment="1">
      <alignment vertical="top"/>
    </xf>
    <xf numFmtId="0" fontId="7" fillId="5" borderId="12" xfId="2" applyFont="1" applyFill="1" applyBorder="1" applyAlignment="1">
      <alignment vertical="top"/>
    </xf>
    <xf numFmtId="0" fontId="7" fillId="5" borderId="14" xfId="2" applyFont="1" applyFill="1" applyBorder="1" applyAlignment="1">
      <alignment vertical="top"/>
    </xf>
    <xf numFmtId="10" fontId="5" fillId="2" borderId="5" xfId="2" applyNumberFormat="1" applyFont="1" applyFill="1" applyBorder="1" applyAlignment="1">
      <alignment horizontal="center" vertical="top"/>
    </xf>
    <xf numFmtId="44" fontId="5" fillId="2" borderId="0" xfId="5" applyFont="1" applyFill="1" applyBorder="1" applyAlignment="1">
      <alignment vertical="top"/>
    </xf>
    <xf numFmtId="0" fontId="5" fillId="3" borderId="23" xfId="2" applyFont="1" applyFill="1" applyBorder="1" applyAlignment="1">
      <alignment vertical="center" wrapText="1"/>
    </xf>
    <xf numFmtId="10" fontId="5" fillId="3" borderId="36" xfId="2" applyNumberFormat="1" applyFont="1" applyFill="1" applyBorder="1" applyAlignment="1" applyProtection="1">
      <alignment horizontal="center" vertical="center" wrapText="1"/>
      <protection locked="0"/>
    </xf>
    <xf numFmtId="44" fontId="5" fillId="0" borderId="37" xfId="5" applyFont="1" applyFill="1" applyBorder="1" applyAlignment="1" applyProtection="1">
      <alignment vertical="center"/>
      <protection locked="0"/>
    </xf>
    <xf numFmtId="0" fontId="5" fillId="3" borderId="25" xfId="2" applyFont="1" applyFill="1" applyBorder="1" applyAlignment="1">
      <alignment vertical="center"/>
    </xf>
    <xf numFmtId="0" fontId="5" fillId="3" borderId="26" xfId="2" applyFont="1" applyFill="1" applyBorder="1" applyAlignment="1">
      <alignment vertical="center" wrapText="1"/>
    </xf>
    <xf numFmtId="44" fontId="5" fillId="0" borderId="28" xfId="5" applyFont="1" applyFill="1" applyBorder="1" applyAlignment="1" applyProtection="1">
      <alignment vertical="center"/>
      <protection locked="0"/>
    </xf>
    <xf numFmtId="0" fontId="5" fillId="3" borderId="30" xfId="2" applyFont="1" applyFill="1" applyBorder="1" applyAlignment="1">
      <alignment vertical="center"/>
    </xf>
    <xf numFmtId="0" fontId="5" fillId="3" borderId="31" xfId="2" applyFont="1" applyFill="1" applyBorder="1" applyAlignment="1">
      <alignment vertical="center" wrapText="1"/>
    </xf>
    <xf numFmtId="44" fontId="5" fillId="0" borderId="38" xfId="5" applyFont="1" applyFill="1" applyBorder="1" applyAlignment="1" applyProtection="1">
      <alignment vertical="center"/>
      <protection locked="0"/>
    </xf>
    <xf numFmtId="0" fontId="7" fillId="3" borderId="39" xfId="2" applyFont="1" applyFill="1" applyBorder="1" applyAlignment="1">
      <alignment horizontal="center" vertical="center" wrapText="1"/>
    </xf>
    <xf numFmtId="0" fontId="7" fillId="4" borderId="12" xfId="2" applyFont="1" applyFill="1" applyBorder="1" applyAlignment="1">
      <alignment vertical="top"/>
    </xf>
    <xf numFmtId="0" fontId="5" fillId="3" borderId="11" xfId="2" applyFont="1" applyFill="1" applyBorder="1" applyAlignment="1">
      <alignment vertical="top"/>
    </xf>
    <xf numFmtId="0" fontId="5" fillId="3" borderId="12" xfId="2" applyFont="1" applyFill="1" applyBorder="1" applyAlignment="1">
      <alignment vertical="top"/>
    </xf>
    <xf numFmtId="0" fontId="5" fillId="3" borderId="12" xfId="2" applyFont="1" applyFill="1" applyBorder="1" applyAlignment="1">
      <alignment horizontal="right" vertical="center"/>
    </xf>
    <xf numFmtId="44" fontId="5" fillId="3" borderId="39" xfId="5" applyFont="1" applyFill="1" applyBorder="1" applyAlignment="1">
      <alignment vertical="center"/>
    </xf>
    <xf numFmtId="0" fontId="5" fillId="3" borderId="19" xfId="2" applyFont="1" applyFill="1" applyBorder="1" applyAlignment="1">
      <alignment vertical="center" wrapText="1"/>
    </xf>
    <xf numFmtId="44" fontId="5" fillId="0" borderId="37" xfId="5" applyFont="1" applyFill="1" applyBorder="1" applyAlignment="1" applyProtection="1">
      <alignment vertical="center" wrapText="1"/>
      <protection locked="0"/>
    </xf>
    <xf numFmtId="43" fontId="5" fillId="3" borderId="39" xfId="5" applyNumberFormat="1" applyFont="1" applyFill="1" applyBorder="1" applyAlignment="1">
      <alignment vertical="center"/>
    </xf>
    <xf numFmtId="44" fontId="5" fillId="0" borderId="38" xfId="5" applyFont="1" applyFill="1" applyBorder="1" applyAlignment="1" applyProtection="1">
      <alignment vertical="center" wrapText="1"/>
      <protection locked="0"/>
    </xf>
    <xf numFmtId="0" fontId="5" fillId="3" borderId="8" xfId="2" applyFont="1" applyFill="1" applyBorder="1" applyAlignment="1">
      <alignment vertical="top"/>
    </xf>
    <xf numFmtId="0" fontId="5" fillId="3" borderId="9" xfId="2" applyFont="1" applyFill="1" applyBorder="1" applyAlignment="1">
      <alignment vertical="top"/>
    </xf>
    <xf numFmtId="0" fontId="7" fillId="3" borderId="9" xfId="2" applyFont="1" applyFill="1" applyBorder="1" applyAlignment="1">
      <alignment horizontal="right" vertical="center"/>
    </xf>
    <xf numFmtId="44" fontId="7" fillId="0" borderId="40" xfId="5" applyFont="1" applyFill="1" applyBorder="1" applyAlignment="1">
      <alignment vertical="center"/>
    </xf>
    <xf numFmtId="0" fontId="14" fillId="2" borderId="0" xfId="2" applyFont="1" applyFill="1" applyAlignment="1">
      <alignment horizontal="left" vertical="top"/>
    </xf>
    <xf numFmtId="0" fontId="7" fillId="3" borderId="13" xfId="2" applyFont="1" applyFill="1" applyBorder="1" applyAlignment="1">
      <alignment horizontal="right" vertical="center"/>
    </xf>
    <xf numFmtId="0" fontId="5" fillId="2" borderId="0" xfId="2" applyFont="1" applyFill="1" applyAlignment="1">
      <alignment horizontal="right"/>
    </xf>
    <xf numFmtId="0" fontId="7" fillId="2" borderId="0" xfId="2" applyFont="1" applyFill="1" applyAlignment="1">
      <alignment horizontal="right" vertical="center"/>
    </xf>
    <xf numFmtId="0" fontId="5" fillId="2" borderId="8" xfId="2" applyFont="1" applyFill="1" applyBorder="1" applyAlignment="1">
      <alignment vertical="top"/>
    </xf>
    <xf numFmtId="0" fontId="5" fillId="2" borderId="9" xfId="2" applyFont="1" applyFill="1" applyBorder="1" applyAlignment="1">
      <alignment vertical="top"/>
    </xf>
    <xf numFmtId="0" fontId="5" fillId="2" borderId="9" xfId="2" applyFont="1" applyFill="1" applyBorder="1" applyAlignment="1">
      <alignment vertical="top" wrapText="1"/>
    </xf>
    <xf numFmtId="0" fontId="5" fillId="2" borderId="10" xfId="2" applyFont="1" applyFill="1" applyBorder="1" applyAlignment="1">
      <alignment vertical="top"/>
    </xf>
    <xf numFmtId="0" fontId="4" fillId="2" borderId="0" xfId="2" applyFill="1" applyAlignment="1">
      <alignment vertical="top" wrapText="1"/>
    </xf>
    <xf numFmtId="0" fontId="12" fillId="2" borderId="8" xfId="2" applyFont="1" applyFill="1" applyBorder="1" applyAlignment="1">
      <alignment vertical="top"/>
    </xf>
    <xf numFmtId="0" fontId="12" fillId="2" borderId="9" xfId="2" applyFont="1" applyFill="1" applyBorder="1" applyAlignment="1">
      <alignment horizontal="right" vertical="top"/>
    </xf>
    <xf numFmtId="0" fontId="4" fillId="2" borderId="9" xfId="2" applyFill="1" applyBorder="1" applyAlignment="1">
      <alignment vertical="top"/>
    </xf>
    <xf numFmtId="0" fontId="12" fillId="2" borderId="10" xfId="2" applyFont="1" applyFill="1" applyBorder="1" applyAlignment="1">
      <alignment horizontal="right" vertical="top"/>
    </xf>
    <xf numFmtId="0" fontId="7" fillId="3" borderId="2" xfId="3" applyFont="1" applyFill="1" applyBorder="1" applyAlignment="1" applyProtection="1">
      <alignment horizontal="centerContinuous" vertical="top"/>
    </xf>
    <xf numFmtId="0" fontId="14" fillId="2" borderId="0" xfId="2" applyFont="1" applyFill="1" applyAlignment="1">
      <alignment vertical="center"/>
    </xf>
    <xf numFmtId="0" fontId="6" fillId="4" borderId="11" xfId="4" applyFill="1" applyBorder="1" applyAlignment="1" applyProtection="1">
      <alignment horizontal="centerContinuous" vertical="center"/>
    </xf>
    <xf numFmtId="44" fontId="5" fillId="0" borderId="20" xfId="5" applyFont="1" applyFill="1" applyBorder="1" applyAlignment="1" applyProtection="1">
      <alignment vertical="top" wrapText="1"/>
    </xf>
    <xf numFmtId="10" fontId="5" fillId="3" borderId="20" xfId="2" applyNumberFormat="1" applyFont="1" applyFill="1" applyBorder="1" applyAlignment="1">
      <alignment horizontal="center" vertical="center" wrapText="1"/>
    </xf>
    <xf numFmtId="44" fontId="5" fillId="0" borderId="20" xfId="5" applyFont="1" applyFill="1" applyBorder="1" applyAlignment="1" applyProtection="1">
      <alignment vertical="top"/>
    </xf>
    <xf numFmtId="44" fontId="5" fillId="0" borderId="22" xfId="5" applyFont="1" applyFill="1" applyBorder="1" applyAlignment="1" applyProtection="1">
      <alignment vertical="top"/>
    </xf>
    <xf numFmtId="44" fontId="5" fillId="2" borderId="3" xfId="5" applyFont="1" applyFill="1" applyBorder="1" applyAlignment="1" applyProtection="1">
      <alignment vertical="top"/>
    </xf>
    <xf numFmtId="44" fontId="5" fillId="2" borderId="4" xfId="5" applyFont="1" applyFill="1" applyBorder="1" applyAlignment="1" applyProtection="1">
      <alignment vertical="top"/>
    </xf>
    <xf numFmtId="44" fontId="14" fillId="2" borderId="0" xfId="2" applyNumberFormat="1" applyFont="1" applyFill="1" applyAlignment="1">
      <alignment vertical="top"/>
    </xf>
    <xf numFmtId="0" fontId="8" fillId="2" borderId="0" xfId="2" applyFont="1" applyFill="1" applyAlignment="1">
      <alignment vertical="top" wrapText="1"/>
    </xf>
    <xf numFmtId="44" fontId="14" fillId="2" borderId="21" xfId="2" applyNumberFormat="1" applyFont="1" applyFill="1" applyBorder="1" applyAlignment="1">
      <alignment vertical="top"/>
    </xf>
    <xf numFmtId="0" fontId="14" fillId="2" borderId="21" xfId="2" applyFont="1" applyFill="1" applyBorder="1" applyAlignment="1">
      <alignment vertical="top"/>
    </xf>
    <xf numFmtId="0" fontId="14" fillId="2" borderId="0" xfId="2" applyFont="1" applyFill="1" applyAlignment="1">
      <alignment vertical="top" wrapText="1"/>
    </xf>
    <xf numFmtId="0" fontId="8" fillId="2" borderId="0" xfId="2" applyFont="1" applyFill="1" applyAlignment="1">
      <alignment vertical="top"/>
    </xf>
    <xf numFmtId="0" fontId="14" fillId="2" borderId="21" xfId="2" applyFont="1" applyFill="1" applyBorder="1" applyAlignment="1" applyProtection="1">
      <alignment horizontal="center" vertical="top"/>
      <protection locked="0"/>
    </xf>
    <xf numFmtId="43" fontId="14" fillId="2" borderId="21" xfId="2" applyNumberFormat="1" applyFont="1" applyFill="1" applyBorder="1" applyAlignment="1" applyProtection="1">
      <alignment vertical="top"/>
      <protection locked="0"/>
    </xf>
    <xf numFmtId="0" fontId="5" fillId="2" borderId="0" xfId="2" quotePrefix="1" applyFont="1" applyFill="1" applyAlignment="1">
      <alignment vertical="top"/>
    </xf>
    <xf numFmtId="44" fontId="5" fillId="0" borderId="36" xfId="5" applyFont="1" applyFill="1" applyBorder="1" applyAlignment="1" applyProtection="1">
      <alignment vertical="top" wrapText="1"/>
    </xf>
    <xf numFmtId="164" fontId="14" fillId="3" borderId="21" xfId="2" applyNumberFormat="1" applyFont="1" applyFill="1" applyBorder="1" applyAlignment="1">
      <alignment horizontal="center" vertical="center" wrapText="1"/>
    </xf>
    <xf numFmtId="44" fontId="5" fillId="0" borderId="27" xfId="5" applyFont="1" applyFill="1" applyBorder="1" applyAlignment="1" applyProtection="1">
      <alignment vertical="top"/>
    </xf>
    <xf numFmtId="44" fontId="14" fillId="6" borderId="28" xfId="5" applyFont="1" applyFill="1" applyBorder="1" applyAlignment="1" applyProtection="1">
      <alignment vertical="top"/>
    </xf>
    <xf numFmtId="0" fontId="14" fillId="2" borderId="0" xfId="2" applyFont="1" applyFill="1"/>
    <xf numFmtId="0" fontId="14" fillId="6" borderId="30" xfId="2" applyFont="1" applyFill="1" applyBorder="1" applyAlignment="1">
      <alignment horizontal="left" vertical="top"/>
    </xf>
    <xf numFmtId="44" fontId="5" fillId="5" borderId="14" xfId="5" applyFont="1" applyFill="1" applyBorder="1" applyAlignment="1" applyProtection="1">
      <alignment vertical="center"/>
    </xf>
    <xf numFmtId="0" fontId="5" fillId="0" borderId="13" xfId="2" applyFont="1" applyBorder="1" applyAlignment="1">
      <alignment horizontal="center" vertical="center"/>
    </xf>
    <xf numFmtId="44" fontId="5" fillId="5" borderId="10" xfId="5" applyFont="1" applyFill="1" applyBorder="1" applyAlignment="1" applyProtection="1">
      <alignment vertical="center"/>
    </xf>
    <xf numFmtId="0" fontId="12" fillId="6" borderId="0" xfId="2" applyFont="1" applyFill="1" applyAlignment="1">
      <alignment horizontal="center" vertical="top"/>
    </xf>
    <xf numFmtId="0" fontId="8" fillId="2" borderId="0" xfId="2" applyFont="1" applyFill="1"/>
    <xf numFmtId="44" fontId="8" fillId="2" borderId="0" xfId="2" applyNumberFormat="1" applyFont="1" applyFill="1" applyAlignment="1">
      <alignment vertical="top"/>
    </xf>
    <xf numFmtId="44" fontId="5" fillId="0" borderId="15" xfId="5" applyFont="1" applyFill="1" applyBorder="1" applyAlignment="1" applyProtection="1">
      <alignment vertical="center" wrapText="1"/>
    </xf>
    <xf numFmtId="10" fontId="5" fillId="3" borderId="15" xfId="2" applyNumberFormat="1" applyFont="1" applyFill="1" applyBorder="1" applyAlignment="1">
      <alignment horizontal="center" vertical="center" wrapText="1"/>
    </xf>
    <xf numFmtId="44" fontId="5" fillId="0" borderId="15" xfId="5" applyFont="1" applyFill="1" applyBorder="1" applyAlignment="1" applyProtection="1">
      <alignment vertical="center"/>
    </xf>
    <xf numFmtId="164" fontId="5" fillId="3" borderId="15" xfId="2" applyNumberFormat="1" applyFont="1" applyFill="1" applyBorder="1" applyAlignment="1">
      <alignment horizontal="center" vertical="top"/>
    </xf>
    <xf numFmtId="44" fontId="5" fillId="0" borderId="16" xfId="5" applyFont="1" applyFill="1" applyBorder="1" applyAlignment="1" applyProtection="1">
      <alignment vertical="top"/>
    </xf>
    <xf numFmtId="44" fontId="5" fillId="0" borderId="36" xfId="5" applyFont="1" applyFill="1" applyBorder="1" applyAlignment="1" applyProtection="1">
      <alignment vertical="center" wrapText="1"/>
    </xf>
    <xf numFmtId="10" fontId="5" fillId="3" borderId="36" xfId="2" applyNumberFormat="1" applyFont="1" applyFill="1" applyBorder="1" applyAlignment="1">
      <alignment horizontal="center" vertical="center" wrapText="1"/>
    </xf>
    <xf numFmtId="44" fontId="5" fillId="0" borderId="36" xfId="5" applyFont="1" applyFill="1" applyBorder="1" applyAlignment="1" applyProtection="1">
      <alignment vertical="center"/>
    </xf>
    <xf numFmtId="164" fontId="5" fillId="3" borderId="36" xfId="2" applyNumberFormat="1" applyFont="1" applyFill="1" applyBorder="1" applyAlignment="1">
      <alignment horizontal="center" vertical="top"/>
    </xf>
    <xf numFmtId="44" fontId="5" fillId="0" borderId="37" xfId="5" applyFont="1" applyFill="1" applyBorder="1" applyAlignment="1" applyProtection="1">
      <alignment vertical="top"/>
    </xf>
    <xf numFmtId="0" fontId="14" fillId="2" borderId="41" xfId="2" applyFont="1" applyFill="1" applyBorder="1" applyAlignment="1" applyProtection="1">
      <alignment horizontal="center" vertical="top"/>
      <protection locked="0"/>
    </xf>
    <xf numFmtId="43" fontId="14" fillId="2" borderId="42" xfId="2" applyNumberFormat="1" applyFont="1" applyFill="1" applyBorder="1" applyAlignment="1" applyProtection="1">
      <alignment vertical="top"/>
      <protection locked="0"/>
    </xf>
    <xf numFmtId="44" fontId="5" fillId="0" borderId="21" xfId="5" applyFont="1" applyFill="1" applyBorder="1" applyAlignment="1" applyProtection="1">
      <alignment vertical="center"/>
    </xf>
    <xf numFmtId="0" fontId="14" fillId="2" borderId="41" xfId="2" applyFont="1" applyFill="1" applyBorder="1" applyAlignment="1" applyProtection="1">
      <alignment horizontal="center"/>
      <protection locked="0"/>
    </xf>
    <xf numFmtId="0" fontId="13" fillId="2" borderId="0" xfId="2" applyFont="1" applyFill="1"/>
    <xf numFmtId="44" fontId="5" fillId="0" borderId="27" xfId="5" applyFont="1" applyFill="1" applyBorder="1" applyAlignment="1" applyProtection="1">
      <alignment vertical="center"/>
    </xf>
    <xf numFmtId="43" fontId="14" fillId="2" borderId="36" xfId="2" applyNumberFormat="1" applyFont="1" applyFill="1" applyBorder="1" applyAlignment="1" applyProtection="1">
      <alignment vertical="top"/>
      <protection locked="0"/>
    </xf>
    <xf numFmtId="44" fontId="5" fillId="3" borderId="16" xfId="5" applyFont="1" applyFill="1" applyBorder="1" applyAlignment="1" applyProtection="1">
      <alignment vertical="top"/>
    </xf>
    <xf numFmtId="0" fontId="5" fillId="2" borderId="13" xfId="2" applyFont="1" applyFill="1" applyBorder="1" applyAlignment="1">
      <alignment vertical="top"/>
    </xf>
    <xf numFmtId="44" fontId="14" fillId="2" borderId="0" xfId="2" applyNumberFormat="1" applyFont="1" applyFill="1"/>
    <xf numFmtId="44" fontId="5" fillId="2" borderId="0" xfId="5" applyFont="1" applyFill="1" applyBorder="1" applyAlignment="1" applyProtection="1">
      <alignment vertical="top"/>
    </xf>
    <xf numFmtId="165" fontId="14" fillId="2" borderId="0" xfId="2" applyNumberFormat="1" applyFont="1" applyFill="1"/>
    <xf numFmtId="0" fontId="5" fillId="2" borderId="0" xfId="2" quotePrefix="1" applyFont="1" applyFill="1"/>
    <xf numFmtId="44" fontId="5" fillId="0" borderId="37" xfId="5" applyFont="1" applyFill="1" applyBorder="1" applyAlignment="1" applyProtection="1">
      <alignment vertical="center"/>
    </xf>
    <xf numFmtId="44" fontId="5" fillId="0" borderId="21" xfId="5" applyFont="1" applyFill="1" applyBorder="1" applyAlignment="1" applyProtection="1">
      <alignment vertical="center" wrapText="1"/>
    </xf>
    <xf numFmtId="10" fontId="5" fillId="3" borderId="21" xfId="2" applyNumberFormat="1" applyFont="1" applyFill="1" applyBorder="1" applyAlignment="1">
      <alignment horizontal="center" vertical="center" wrapText="1"/>
    </xf>
    <xf numFmtId="44" fontId="5" fillId="0" borderId="28" xfId="5" applyFont="1" applyFill="1" applyBorder="1" applyAlignment="1" applyProtection="1">
      <alignment vertical="center"/>
    </xf>
    <xf numFmtId="0" fontId="14" fillId="2" borderId="0" xfId="2" applyFont="1" applyFill="1" applyAlignment="1">
      <alignment horizontal="right" vertical="top"/>
    </xf>
    <xf numFmtId="44" fontId="14" fillId="2" borderId="0" xfId="2" applyNumberFormat="1" applyFont="1" applyFill="1" applyAlignment="1">
      <alignment vertical="top" wrapText="1"/>
    </xf>
    <xf numFmtId="44" fontId="5" fillId="0" borderId="27" xfId="5" applyFont="1" applyFill="1" applyBorder="1" applyAlignment="1" applyProtection="1">
      <alignment vertical="center" wrapText="1"/>
    </xf>
    <xf numFmtId="10" fontId="5" fillId="3" borderId="27" xfId="2" applyNumberFormat="1" applyFont="1" applyFill="1" applyBorder="1" applyAlignment="1">
      <alignment horizontal="center" vertical="center" wrapText="1"/>
    </xf>
    <xf numFmtId="44" fontId="5" fillId="0" borderId="38" xfId="5" applyFont="1" applyFill="1" applyBorder="1" applyAlignment="1" applyProtection="1">
      <alignment vertical="center"/>
    </xf>
    <xf numFmtId="0" fontId="5" fillId="2" borderId="0" xfId="2" applyFont="1" applyFill="1" applyAlignment="1">
      <alignment horizontal="right" vertical="top"/>
    </xf>
    <xf numFmtId="0" fontId="5" fillId="6" borderId="0" xfId="2" applyFont="1" applyFill="1" applyAlignment="1">
      <alignment horizontal="center" vertical="top"/>
    </xf>
    <xf numFmtId="44" fontId="5" fillId="2" borderId="0" xfId="2" applyNumberFormat="1" applyFont="1" applyFill="1" applyAlignment="1">
      <alignment horizontal="right" vertical="top"/>
    </xf>
    <xf numFmtId="44" fontId="5" fillId="2" borderId="0" xfId="2" applyNumberFormat="1" applyFont="1" applyFill="1" applyAlignment="1">
      <alignment vertical="top"/>
    </xf>
    <xf numFmtId="0" fontId="6" fillId="4" borderId="11" xfId="4" applyFill="1" applyBorder="1" applyAlignment="1" applyProtection="1">
      <alignment vertical="top"/>
    </xf>
    <xf numFmtId="0" fontId="6" fillId="4" borderId="12" xfId="4" applyFill="1" applyBorder="1" applyAlignment="1" applyProtection="1">
      <alignment vertical="top"/>
    </xf>
    <xf numFmtId="0" fontId="6" fillId="4" borderId="16" xfId="4" applyFill="1" applyBorder="1" applyAlignment="1" applyProtection="1">
      <alignment horizontal="center" vertical="center" wrapText="1"/>
    </xf>
    <xf numFmtId="0" fontId="5" fillId="3" borderId="12" xfId="2" applyFont="1" applyFill="1" applyBorder="1" applyAlignment="1">
      <alignment horizontal="right" vertical="top"/>
    </xf>
    <xf numFmtId="44" fontId="5" fillId="3" borderId="39" xfId="5" applyFont="1" applyFill="1" applyBorder="1" applyAlignment="1" applyProtection="1">
      <alignment vertical="top"/>
    </xf>
    <xf numFmtId="0" fontId="5" fillId="2" borderId="0" xfId="2" applyFont="1" applyFill="1" applyAlignment="1">
      <alignment horizontal="center" vertical="top"/>
    </xf>
    <xf numFmtId="44" fontId="5" fillId="0" borderId="37" xfId="5" applyFont="1" applyFill="1" applyBorder="1" applyAlignment="1" applyProtection="1">
      <alignment vertical="center" wrapText="1"/>
    </xf>
    <xf numFmtId="43" fontId="5" fillId="3" borderId="39" xfId="5" applyNumberFormat="1" applyFont="1" applyFill="1" applyBorder="1" applyAlignment="1" applyProtection="1">
      <alignment vertical="top"/>
    </xf>
    <xf numFmtId="44" fontId="5" fillId="0" borderId="38" xfId="5" applyFont="1" applyFill="1" applyBorder="1" applyAlignment="1" applyProtection="1">
      <alignment vertical="center" wrapText="1"/>
    </xf>
    <xf numFmtId="0" fontId="7" fillId="3" borderId="9" xfId="2" applyFont="1" applyFill="1" applyBorder="1" applyAlignment="1">
      <alignment horizontal="right" vertical="top"/>
    </xf>
    <xf numFmtId="44" fontId="6" fillId="6" borderId="40" xfId="5" applyFont="1" applyFill="1" applyBorder="1" applyAlignment="1" applyProtection="1">
      <alignment vertical="top"/>
    </xf>
    <xf numFmtId="0" fontId="10" fillId="2" borderId="5" xfId="2" applyFont="1" applyFill="1" applyBorder="1" applyAlignment="1">
      <alignment vertical="center"/>
    </xf>
    <xf numFmtId="0" fontId="8" fillId="2" borderId="0" xfId="2" applyFont="1" applyFill="1" applyAlignment="1">
      <alignment vertical="center"/>
    </xf>
    <xf numFmtId="44" fontId="6" fillId="3" borderId="39" xfId="5" applyFont="1" applyFill="1" applyBorder="1" applyAlignment="1" applyProtection="1">
      <alignment vertical="center"/>
    </xf>
    <xf numFmtId="0" fontId="7" fillId="2" borderId="9" xfId="2" applyFont="1" applyFill="1" applyBorder="1" applyAlignment="1">
      <alignment horizontal="right" vertical="center"/>
    </xf>
    <xf numFmtId="0" fontId="20" fillId="2" borderId="0" xfId="2" applyFont="1" applyFill="1" applyAlignment="1">
      <alignment vertical="center"/>
    </xf>
    <xf numFmtId="0" fontId="19" fillId="2" borderId="0" xfId="6" applyFill="1" applyBorder="1" applyAlignment="1" applyProtection="1">
      <alignment vertical="top"/>
    </xf>
    <xf numFmtId="0" fontId="9" fillId="2" borderId="9" xfId="7" applyFont="1" applyFill="1" applyBorder="1" applyAlignment="1">
      <alignment horizontal="center" vertical="center"/>
    </xf>
    <xf numFmtId="0" fontId="4" fillId="2" borderId="0" xfId="7" applyFont="1" applyFill="1" applyAlignment="1">
      <alignment vertical="center"/>
    </xf>
    <xf numFmtId="0" fontId="0" fillId="3" borderId="43" xfId="7" applyFont="1" applyFill="1" applyBorder="1" applyAlignment="1">
      <alignment vertical="center" wrapText="1"/>
    </xf>
    <xf numFmtId="0" fontId="4" fillId="3" borderId="44" xfId="7" applyFont="1" applyFill="1" applyBorder="1" applyAlignment="1">
      <alignment vertical="center" wrapText="1"/>
    </xf>
    <xf numFmtId="0" fontId="0" fillId="3" borderId="45" xfId="7" applyFont="1" applyFill="1" applyBorder="1" applyAlignment="1">
      <alignment vertical="center" wrapText="1"/>
    </xf>
    <xf numFmtId="0" fontId="0" fillId="3" borderId="44" xfId="7" applyFont="1" applyFill="1" applyBorder="1" applyAlignment="1">
      <alignment vertical="center" wrapText="1"/>
    </xf>
    <xf numFmtId="0" fontId="0" fillId="3" borderId="45" xfId="7" applyFont="1" applyFill="1" applyBorder="1" applyAlignment="1">
      <alignment vertical="center"/>
    </xf>
    <xf numFmtId="0" fontId="4" fillId="5" borderId="40" xfId="7" applyFont="1" applyFill="1" applyBorder="1" applyAlignment="1">
      <alignment horizontal="right" vertical="center"/>
    </xf>
    <xf numFmtId="0" fontId="4" fillId="2" borderId="0" xfId="7" applyFont="1" applyFill="1"/>
    <xf numFmtId="0" fontId="5" fillId="6" borderId="31" xfId="2" applyFont="1" applyFill="1" applyBorder="1" applyAlignment="1">
      <alignment vertical="top"/>
    </xf>
    <xf numFmtId="44" fontId="5" fillId="3" borderId="32" xfId="2" applyNumberFormat="1" applyFont="1" applyFill="1" applyBorder="1" applyAlignment="1">
      <alignment vertical="top"/>
    </xf>
    <xf numFmtId="44" fontId="21" fillId="3" borderId="32" xfId="2" applyNumberFormat="1" applyFont="1" applyFill="1" applyBorder="1" applyAlignment="1">
      <alignment vertical="top"/>
    </xf>
    <xf numFmtId="165" fontId="14" fillId="6" borderId="0" xfId="2" applyNumberFormat="1" applyFont="1" applyFill="1" applyAlignment="1">
      <alignment vertical="top"/>
    </xf>
    <xf numFmtId="0" fontId="14" fillId="2" borderId="47" xfId="2" applyFont="1" applyFill="1" applyBorder="1" applyAlignment="1" applyProtection="1">
      <alignment horizontal="center"/>
      <protection locked="0"/>
    </xf>
    <xf numFmtId="43" fontId="14" fillId="6" borderId="46" xfId="2" applyNumberFormat="1" applyFont="1" applyFill="1" applyBorder="1" applyProtection="1">
      <protection locked="0"/>
    </xf>
    <xf numFmtId="44" fontId="7" fillId="0" borderId="39" xfId="5" applyFont="1" applyFill="1" applyBorder="1" applyAlignment="1" applyProtection="1">
      <alignment vertical="center"/>
    </xf>
    <xf numFmtId="0" fontId="25" fillId="3" borderId="11" xfId="2" applyFont="1" applyFill="1" applyBorder="1" applyAlignment="1">
      <alignment horizontal="centerContinuous" vertical="center"/>
    </xf>
    <xf numFmtId="0" fontId="7" fillId="3" borderId="12" xfId="2" applyFont="1" applyFill="1" applyBorder="1" applyAlignment="1">
      <alignment horizontal="centerContinuous" vertical="center"/>
    </xf>
    <xf numFmtId="0" fontId="5" fillId="3" borderId="12" xfId="2" applyFont="1" applyFill="1" applyBorder="1" applyAlignment="1">
      <alignment horizontal="centerContinuous" vertical="center"/>
    </xf>
    <xf numFmtId="0" fontId="5" fillId="3" borderId="13" xfId="2" applyFont="1" applyFill="1" applyBorder="1" applyAlignment="1">
      <alignment horizontal="centerContinuous" vertical="center"/>
    </xf>
    <xf numFmtId="0" fontId="22" fillId="7" borderId="2" xfId="3" applyFont="1" applyFill="1" applyBorder="1" applyAlignment="1">
      <alignment horizontal="centerContinuous" vertical="top" wrapText="1"/>
    </xf>
    <xf numFmtId="0" fontId="22" fillId="7" borderId="3" xfId="2" applyFont="1" applyFill="1" applyBorder="1" applyAlignment="1">
      <alignment horizontal="centerContinuous" vertical="top"/>
    </xf>
    <xf numFmtId="0" fontId="23" fillId="7" borderId="3" xfId="2" applyFont="1" applyFill="1" applyBorder="1" applyAlignment="1">
      <alignment horizontal="centerContinuous" vertical="top"/>
    </xf>
    <xf numFmtId="0" fontId="23" fillId="7" borderId="4" xfId="2" applyFont="1" applyFill="1" applyBorder="1" applyAlignment="1">
      <alignment horizontal="centerContinuous" vertical="top"/>
    </xf>
    <xf numFmtId="0" fontId="22" fillId="7" borderId="8" xfId="2" applyFont="1" applyFill="1" applyBorder="1" applyAlignment="1">
      <alignment horizontal="centerContinuous" vertical="top"/>
    </xf>
    <xf numFmtId="0" fontId="22" fillId="7" borderId="9" xfId="2" applyFont="1" applyFill="1" applyBorder="1" applyAlignment="1">
      <alignment horizontal="centerContinuous" vertical="top"/>
    </xf>
    <xf numFmtId="0" fontId="23" fillId="7" borderId="9" xfId="2" applyFont="1" applyFill="1" applyBorder="1" applyAlignment="1">
      <alignment horizontal="centerContinuous" vertical="top"/>
    </xf>
    <xf numFmtId="0" fontId="23" fillId="7" borderId="10" xfId="2" applyFont="1" applyFill="1" applyBorder="1" applyAlignment="1">
      <alignment horizontal="centerContinuous" vertical="top"/>
    </xf>
    <xf numFmtId="0" fontId="22" fillId="7" borderId="11" xfId="4" applyFont="1" applyFill="1" applyBorder="1" applyAlignment="1">
      <alignment horizontal="centerContinuous" vertical="center"/>
    </xf>
    <xf numFmtId="0" fontId="23" fillId="7" borderId="12" xfId="2" applyFont="1" applyFill="1" applyBorder="1" applyAlignment="1">
      <alignment horizontal="centerContinuous" vertical="center"/>
    </xf>
    <xf numFmtId="0" fontId="23" fillId="7" borderId="13" xfId="2" applyFont="1" applyFill="1" applyBorder="1" applyAlignment="1">
      <alignment horizontal="centerContinuous" vertical="center"/>
    </xf>
    <xf numFmtId="44" fontId="24" fillId="7" borderId="12" xfId="2" applyNumberFormat="1" applyFont="1" applyFill="1" applyBorder="1" applyAlignment="1">
      <alignment horizontal="centerContinuous" vertical="center"/>
    </xf>
    <xf numFmtId="44" fontId="24" fillId="7" borderId="13" xfId="2" applyNumberFormat="1" applyFont="1" applyFill="1" applyBorder="1" applyAlignment="1">
      <alignment horizontal="centerContinuous" vertical="center"/>
    </xf>
    <xf numFmtId="0" fontId="22" fillId="7" borderId="39" xfId="2" applyFont="1" applyFill="1" applyBorder="1" applyAlignment="1">
      <alignment horizontal="center" vertical="center" wrapText="1"/>
    </xf>
    <xf numFmtId="0" fontId="6" fillId="7" borderId="11" xfId="4" applyFill="1" applyBorder="1" applyAlignment="1">
      <alignment vertical="top"/>
    </xf>
    <xf numFmtId="0" fontId="22" fillId="7" borderId="12" xfId="4" applyFont="1" applyFill="1" applyBorder="1" applyAlignment="1">
      <alignment vertical="top"/>
    </xf>
    <xf numFmtId="0" fontId="22" fillId="7" borderId="12" xfId="2" applyFont="1" applyFill="1" applyBorder="1" applyAlignment="1">
      <alignment vertical="top"/>
    </xf>
    <xf numFmtId="0" fontId="22" fillId="7" borderId="16" xfId="4" applyFont="1" applyFill="1" applyBorder="1" applyAlignment="1">
      <alignment horizontal="center" vertical="center" wrapText="1"/>
    </xf>
    <xf numFmtId="0" fontId="5" fillId="8" borderId="0" xfId="2" applyFont="1" applyFill="1" applyAlignment="1">
      <alignment vertical="top"/>
    </xf>
    <xf numFmtId="0" fontId="5" fillId="8" borderId="0" xfId="2" applyFont="1" applyFill="1" applyAlignment="1">
      <alignment vertical="center"/>
    </xf>
    <xf numFmtId="0" fontId="5" fillId="8" borderId="0" xfId="2" applyFont="1" applyFill="1" applyAlignment="1">
      <alignment vertical="top" wrapText="1"/>
    </xf>
    <xf numFmtId="0" fontId="5" fillId="8" borderId="0" xfId="2" applyFont="1" applyFill="1"/>
    <xf numFmtId="10" fontId="5" fillId="6" borderId="15" xfId="2" applyNumberFormat="1" applyFont="1" applyFill="1" applyBorder="1" applyAlignment="1">
      <alignment horizontal="center" vertical="top"/>
    </xf>
    <xf numFmtId="0" fontId="26" fillId="9" borderId="21" xfId="0" applyFont="1" applyFill="1" applyBorder="1" applyAlignment="1">
      <alignment vertical="center"/>
    </xf>
    <xf numFmtId="0" fontId="27" fillId="9" borderId="0" xfId="0" applyFont="1" applyFill="1" applyAlignment="1">
      <alignment vertical="center"/>
    </xf>
    <xf numFmtId="0" fontId="4" fillId="2" borderId="0" xfId="2" applyFill="1" applyAlignment="1">
      <alignment vertical="top"/>
    </xf>
    <xf numFmtId="44" fontId="7" fillId="2" borderId="0" xfId="5" applyFont="1" applyFill="1" applyBorder="1" applyAlignment="1" applyProtection="1">
      <alignment vertical="center"/>
    </xf>
    <xf numFmtId="0" fontId="28" fillId="8" borderId="0" xfId="2" applyFont="1" applyFill="1" applyAlignment="1">
      <alignment vertical="top"/>
    </xf>
    <xf numFmtId="0" fontId="28" fillId="8" borderId="0" xfId="2" applyFont="1" applyFill="1" applyAlignment="1">
      <alignment vertical="center"/>
    </xf>
    <xf numFmtId="0" fontId="28" fillId="8" borderId="0" xfId="2" applyFont="1" applyFill="1" applyAlignment="1">
      <alignment vertical="top" wrapText="1"/>
    </xf>
    <xf numFmtId="0" fontId="28" fillId="8" borderId="0" xfId="2" applyFont="1" applyFill="1"/>
    <xf numFmtId="0" fontId="25" fillId="2" borderId="0" xfId="2" applyFont="1" applyFill="1" applyAlignment="1">
      <alignment horizontal="centerContinuous" vertical="center"/>
    </xf>
    <xf numFmtId="0" fontId="7" fillId="2" borderId="0" xfId="2" applyFont="1" applyFill="1" applyAlignment="1">
      <alignment horizontal="centerContinuous" vertical="center"/>
    </xf>
    <xf numFmtId="0" fontId="5" fillId="2" borderId="0" xfId="2" applyFont="1" applyFill="1" applyAlignment="1">
      <alignment horizontal="centerContinuous" vertical="center"/>
    </xf>
    <xf numFmtId="0" fontId="29" fillId="2" borderId="0" xfId="2" applyFont="1" applyFill="1" applyAlignment="1">
      <alignment vertical="top"/>
    </xf>
    <xf numFmtId="0" fontId="28" fillId="8" borderId="0" xfId="2" applyFont="1" applyFill="1" applyAlignment="1">
      <alignment horizontal="left" vertical="top" wrapText="1"/>
    </xf>
    <xf numFmtId="0" fontId="25" fillId="3" borderId="48" xfId="2" applyFont="1" applyFill="1" applyBorder="1" applyAlignment="1">
      <alignment vertical="center"/>
    </xf>
    <xf numFmtId="0" fontId="25" fillId="3" borderId="49" xfId="2" applyFont="1" applyFill="1" applyBorder="1" applyAlignment="1">
      <alignment vertical="center"/>
    </xf>
    <xf numFmtId="0" fontId="25" fillId="3" borderId="50" xfId="2" applyFont="1" applyFill="1" applyBorder="1" applyAlignment="1">
      <alignment vertical="center"/>
    </xf>
    <xf numFmtId="0" fontId="14" fillId="2" borderId="51" xfId="2" applyFont="1" applyFill="1" applyBorder="1" applyAlignment="1">
      <alignment vertical="top"/>
    </xf>
    <xf numFmtId="0" fontId="23" fillId="8" borderId="0" xfId="2" applyFont="1" applyFill="1" applyAlignment="1">
      <alignment vertical="top" wrapText="1"/>
    </xf>
    <xf numFmtId="0" fontId="3" fillId="2" borderId="0" xfId="1" applyFill="1" applyBorder="1" applyAlignment="1">
      <alignment vertical="top"/>
    </xf>
    <xf numFmtId="0" fontId="5" fillId="2" borderId="0" xfId="2" applyFont="1" applyFill="1" applyAlignment="1">
      <alignment vertical="top" wrapText="1"/>
    </xf>
    <xf numFmtId="0" fontId="4" fillId="2" borderId="0" xfId="2" applyFill="1" applyAlignment="1">
      <alignment vertical="top" wrapText="1"/>
    </xf>
    <xf numFmtId="0" fontId="19" fillId="2" borderId="3" xfId="1" applyFont="1" applyFill="1" applyBorder="1" applyAlignment="1">
      <alignment vertical="center"/>
    </xf>
    <xf numFmtId="0" fontId="4" fillId="0" borderId="0" xfId="2" applyAlignment="1">
      <alignment vertical="top" wrapText="1"/>
    </xf>
  </cellXfs>
  <cellStyles count="8">
    <cellStyle name="Currency 2" xfId="5" xr:uid="{9F9E69C7-0D43-42AC-9218-234FBC79D65F}"/>
    <cellStyle name="Heading 1 2" xfId="3" xr:uid="{C2D47709-0764-4895-A395-EEDE0D0E5E76}"/>
    <cellStyle name="Heading 2 2" xfId="4" xr:uid="{CCEFF1FD-394F-4196-AD8E-D73BE98B13F0}"/>
    <cellStyle name="Hyperlink" xfId="1" builtinId="8"/>
    <cellStyle name="Hyperlink 2" xfId="6" xr:uid="{FFB85790-820E-4893-901D-DE8C76C3246D}"/>
    <cellStyle name="Normal" xfId="0" builtinId="0"/>
    <cellStyle name="Normal 2 2" xfId="7" xr:uid="{9065EC02-3153-429E-B6F4-0174503C3418}"/>
    <cellStyle name="Normal 5" xfId="2" xr:uid="{AAFBB820-1C17-4CC3-82CB-A2195A96315B}"/>
  </cellStyles>
  <dxfs count="1">
    <dxf>
      <font>
        <b/>
        <i val="0"/>
        <color rgb="FFFF0000"/>
      </font>
    </dxf>
  </dxfs>
  <tableStyles count="0" defaultTableStyle="TableStyleMedium2" defaultPivotStyle="PivotStyleLight16"/>
  <colors>
    <mruColors>
      <color rgb="FF0000FF"/>
      <color rgb="FF000099"/>
      <color rgb="FF0033CC"/>
      <color rgb="FFBDCDFF"/>
      <color rgb="FF9FB6FF"/>
      <color rgb="FFCDCDFF"/>
      <color rgb="FFC9C9FF"/>
      <color rgb="FF85A2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Radio" firstButton="1" fmlaLink="Formulas!N22"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Formulas!$N$13" lockText="1" noThreeD="1"/>
</file>

<file path=xl/ctrlProps/ctrlProp14.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CheckBox" fmlaLink="Formulas!$N$8"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Formulas!N2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Formulas!N2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23</xdr:row>
          <xdr:rowOff>76200</xdr:rowOff>
        </xdr:from>
        <xdr:to>
          <xdr:col>5</xdr:col>
          <xdr:colOff>704850</xdr:colOff>
          <xdr:row>23</xdr:row>
          <xdr:rowOff>171450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23</xdr:row>
          <xdr:rowOff>57150</xdr:rowOff>
        </xdr:from>
        <xdr:to>
          <xdr:col>5</xdr:col>
          <xdr:colOff>1143000</xdr:colOff>
          <xdr:row>23</xdr:row>
          <xdr:rowOff>209550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1133475</xdr:colOff>
          <xdr:row>23</xdr:row>
          <xdr:rowOff>57150</xdr:rowOff>
        </xdr:from>
        <xdr:to>
          <xdr:col>6</xdr:col>
          <xdr:colOff>0</xdr:colOff>
          <xdr:row>23</xdr:row>
          <xdr:rowOff>200025</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23</xdr:row>
          <xdr:rowOff>0</xdr:rowOff>
        </xdr:from>
        <xdr:to>
          <xdr:col>6</xdr:col>
          <xdr:colOff>0</xdr:colOff>
          <xdr:row>24</xdr:row>
          <xdr:rowOff>0</xdr:rowOff>
        </xdr:to>
        <xdr:sp macro="" textlink="">
          <xdr:nvSpPr>
            <xdr:cNvPr id="1028" name="Group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22</xdr:row>
          <xdr:rowOff>76200</xdr:rowOff>
        </xdr:from>
        <xdr:to>
          <xdr:col>5</xdr:col>
          <xdr:colOff>723900</xdr:colOff>
          <xdr:row>22</xdr:row>
          <xdr:rowOff>171450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22</xdr:row>
          <xdr:rowOff>47625</xdr:rowOff>
        </xdr:from>
        <xdr:to>
          <xdr:col>5</xdr:col>
          <xdr:colOff>1181100</xdr:colOff>
          <xdr:row>22</xdr:row>
          <xdr:rowOff>200025</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1133475</xdr:colOff>
          <xdr:row>22</xdr:row>
          <xdr:rowOff>57150</xdr:rowOff>
        </xdr:from>
        <xdr:to>
          <xdr:col>6</xdr:col>
          <xdr:colOff>0</xdr:colOff>
          <xdr:row>22</xdr:row>
          <xdr:rowOff>200025</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22</xdr:row>
          <xdr:rowOff>0</xdr:rowOff>
        </xdr:from>
        <xdr:to>
          <xdr:col>6</xdr:col>
          <xdr:colOff>0</xdr:colOff>
          <xdr:row>23</xdr:row>
          <xdr:rowOff>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24</xdr:row>
          <xdr:rowOff>76200</xdr:rowOff>
        </xdr:from>
        <xdr:to>
          <xdr:col>5</xdr:col>
          <xdr:colOff>704850</xdr:colOff>
          <xdr:row>24</xdr:row>
          <xdr:rowOff>171450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Express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723900</xdr:colOff>
          <xdr:row>24</xdr:row>
          <xdr:rowOff>57150</xdr:rowOff>
        </xdr:from>
        <xdr:to>
          <xdr:col>5</xdr:col>
          <xdr:colOff>1152525</xdr:colOff>
          <xdr:row>24</xdr:row>
          <xdr:rowOff>209550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ITL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1133475</xdr:colOff>
          <xdr:row>24</xdr:row>
          <xdr:rowOff>57150</xdr:rowOff>
        </xdr:from>
        <xdr:to>
          <xdr:col>6</xdr:col>
          <xdr:colOff>0</xdr:colOff>
          <xdr:row>24</xdr:row>
          <xdr:rowOff>200025</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24</xdr:row>
          <xdr:rowOff>0</xdr:rowOff>
        </xdr:from>
        <xdr:to>
          <xdr:col>6</xdr:col>
          <xdr:colOff>0</xdr:colOff>
          <xdr:row>25</xdr:row>
          <xdr:rowOff>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95250</xdr:colOff>
          <xdr:row>13</xdr:row>
          <xdr:rowOff>228600</xdr:rowOff>
        </xdr:from>
        <xdr:to>
          <xdr:col>6</xdr:col>
          <xdr:colOff>0</xdr:colOff>
          <xdr:row>15</xdr:row>
          <xdr:rowOff>1058</xdr:rowOff>
        </xdr:to>
        <xdr:grpSp>
          <xdr:nvGrpSpPr>
            <xdr:cNvPr id="3" name="Group 2">
              <a:extLst>
                <a:ext uri="{FF2B5EF4-FFF2-40B4-BE49-F238E27FC236}">
                  <a16:creationId xmlns:a16="http://schemas.microsoft.com/office/drawing/2014/main" id="{FD1B7AD9-9722-B74E-81B8-79A0B6325194}"/>
                </a:ext>
              </a:extLst>
            </xdr:cNvPr>
            <xdr:cNvGrpSpPr/>
          </xdr:nvGrpSpPr>
          <xdr:grpSpPr>
            <a:xfrm>
              <a:off x="3196167" y="3181350"/>
              <a:ext cx="1502833" cy="259291"/>
              <a:chOff x="3196167" y="3022600"/>
              <a:chExt cx="1502833" cy="259291"/>
            </a:xfrm>
          </xdr:grpSpPr>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3196167" y="3026833"/>
                <a:ext cx="628650" cy="2550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Veteran</a:t>
                </a:r>
              </a:p>
            </xdr:txBody>
          </xdr:sp>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3862917" y="3022600"/>
                <a:ext cx="836083" cy="2582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Non-Veteran</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14</xdr:row>
          <xdr:rowOff>0</xdr:rowOff>
        </xdr:from>
        <xdr:to>
          <xdr:col>6</xdr:col>
          <xdr:colOff>0</xdr:colOff>
          <xdr:row>15</xdr:row>
          <xdr:rowOff>0</xdr:rowOff>
        </xdr:to>
        <xdr:sp macro="" textlink="">
          <xdr:nvSpPr>
            <xdr:cNvPr id="1040" name="Group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6</xdr:row>
          <xdr:rowOff>123825</xdr:rowOff>
        </xdr:from>
        <xdr:to>
          <xdr:col>5</xdr:col>
          <xdr:colOff>342900</xdr:colOff>
          <xdr:row>7</xdr:row>
          <xdr:rowOff>247650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15</xdr:col>
      <xdr:colOff>232834</xdr:colOff>
      <xdr:row>17</xdr:row>
      <xdr:rowOff>127000</xdr:rowOff>
    </xdr:from>
    <xdr:ext cx="184731" cy="264560"/>
    <xdr:sp macro="" textlink="">
      <xdr:nvSpPr>
        <xdr:cNvPr id="5" name="TextBox 4">
          <a:extLst>
            <a:ext uri="{FF2B5EF4-FFF2-40B4-BE49-F238E27FC236}">
              <a16:creationId xmlns:a16="http://schemas.microsoft.com/office/drawing/2014/main" id="{C8FF9B86-B9C3-07C7-DA02-AF67FA672022}"/>
            </a:ext>
          </a:extLst>
        </xdr:cNvPr>
        <xdr:cNvSpPr txBox="1"/>
      </xdr:nvSpPr>
      <xdr:spPr>
        <a:xfrm>
          <a:off x="13959417" y="38946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ba123-my.sharepoint.com/personal/gapricha_sba_gov/Documents/Documents/My%20Work%20Docs/Development/LOR%20Development/7aLOR%20-%20DEV.xlsm" TargetMode="External"/><Relationship Id="rId1" Type="http://schemas.openxmlformats.org/officeDocument/2006/relationships/externalLinkPath" Target="https://sba123-my.sharepoint.com/personal/gapricha_sba_gov/Documents/Documents/My%20Work%20Docs/Development/LOR%20Development/7aLOR%20-%20DEV.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S Review Sheet"/>
      <sheetName val="Repayment"/>
      <sheetName val="CF Analysis"/>
      <sheetName val="CapLine Calc."/>
      <sheetName val="Working Capital Needs Calc."/>
      <sheetName val="Mo. WC Needs Calc."/>
      <sheetName val="Gty Fee"/>
      <sheetName val="Formulas"/>
      <sheetName val="Gty Fee Instructions"/>
      <sheetName val="DataSheet"/>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row r="24">
          <cell r="D24" t="str">
            <v xml:space="preserve">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www.sba.gov/document/sop-50-10-lender-development-company-loan-programs" TargetMode="External"/><Relationship Id="rId21" Type="http://schemas.openxmlformats.org/officeDocument/2006/relationships/ctrlProp" Target="../ctrlProps/ctrlProp15.xm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https://www.sba.gov/document/sop-50-10-lender-development-company-loan-programs" TargetMode="External"/><Relationship Id="rId16" Type="http://schemas.openxmlformats.org/officeDocument/2006/relationships/ctrlProp" Target="../ctrlProps/ctrlProp10.xml"/><Relationship Id="rId20" Type="http://schemas.openxmlformats.org/officeDocument/2006/relationships/ctrlProp" Target="../ctrlProps/ctrlProp14.xml"/><Relationship Id="rId1" Type="http://schemas.openxmlformats.org/officeDocument/2006/relationships/hyperlink" Target="https://www.sba.gov/document/information-notice-5000-872051-7a-fees-effective-october-1-2025-fiscal-year-2026"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19" Type="http://schemas.openxmlformats.org/officeDocument/2006/relationships/ctrlProp" Target="../ctrlProps/ctrlProp13.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F4901-FFF3-4EC7-B4D5-A01762E92B40}">
  <sheetPr codeName="Sheet1">
    <pageSetUpPr fitToPage="1"/>
  </sheetPr>
  <dimension ref="B1:Z50"/>
  <sheetViews>
    <sheetView showGridLines="0" tabSelected="1" zoomScale="90" zoomScaleNormal="90" zoomScaleSheetLayoutView="100" workbookViewId="0">
      <selection activeCell="E8" sqref="E8"/>
    </sheetView>
  </sheetViews>
  <sheetFormatPr defaultColWidth="12.28515625" defaultRowHeight="18.75" x14ac:dyDescent="0.25"/>
  <cols>
    <col min="1" max="2" width="2.85546875" style="283" customWidth="1"/>
    <col min="3" max="4" width="2.85546875" style="285" customWidth="1"/>
    <col min="5" max="5" width="35.140625" style="285" customWidth="1"/>
    <col min="6" max="6" width="24" style="285" customWidth="1"/>
    <col min="7" max="7" width="20.7109375" style="285" customWidth="1"/>
    <col min="8" max="8" width="16.28515625" style="285" customWidth="1"/>
    <col min="9" max="9" width="20.7109375" style="283" customWidth="1"/>
    <col min="10" max="10" width="16.28515625" style="283" customWidth="1"/>
    <col min="11" max="11" width="20.7109375" style="283" customWidth="1"/>
    <col min="12" max="13" width="2.85546875" style="283" customWidth="1"/>
    <col min="14" max="14" width="19" style="283" bestFit="1" customWidth="1"/>
    <col min="15" max="15" width="15.5703125" style="283" bestFit="1" customWidth="1"/>
    <col min="16" max="16" width="19.140625" style="283" bestFit="1" customWidth="1"/>
    <col min="17" max="18" width="15.5703125" style="283" bestFit="1" customWidth="1"/>
    <col min="19" max="16384" width="12.28515625" style="283"/>
  </cols>
  <sheetData>
    <row r="1" spans="2:26" ht="19.5" thickBot="1" x14ac:dyDescent="0.3"/>
    <row r="2" spans="2:26" ht="19.5" thickBot="1" x14ac:dyDescent="0.3">
      <c r="B2" s="1"/>
      <c r="C2" s="2"/>
      <c r="D2" s="2"/>
      <c r="E2" s="2"/>
      <c r="F2" s="2"/>
      <c r="G2" s="2"/>
      <c r="H2" s="2"/>
      <c r="I2" s="3"/>
      <c r="J2" s="3"/>
      <c r="K2" s="3"/>
      <c r="L2" s="4"/>
      <c r="M2" s="292"/>
      <c r="N2" s="292"/>
      <c r="O2" s="292"/>
      <c r="P2" s="292"/>
      <c r="Q2" s="292"/>
      <c r="R2" s="292"/>
      <c r="S2" s="292"/>
      <c r="T2" s="292"/>
      <c r="U2" s="292"/>
      <c r="V2" s="292"/>
      <c r="W2" s="292"/>
      <c r="X2" s="292"/>
      <c r="Y2" s="292"/>
      <c r="Z2" s="292"/>
    </row>
    <row r="3" spans="2:26" ht="20.100000000000001" customHeight="1" x14ac:dyDescent="0.25">
      <c r="B3" s="6"/>
      <c r="C3" s="265" t="s">
        <v>93</v>
      </c>
      <c r="D3" s="266"/>
      <c r="E3" s="266"/>
      <c r="F3" s="266"/>
      <c r="G3" s="267"/>
      <c r="H3" s="267"/>
      <c r="I3" s="267"/>
      <c r="J3" s="267"/>
      <c r="K3" s="268"/>
      <c r="L3" s="10"/>
      <c r="M3" s="292"/>
      <c r="N3" s="292"/>
      <c r="O3" s="292"/>
      <c r="P3" s="292"/>
      <c r="Q3" s="292"/>
      <c r="R3" s="292"/>
      <c r="S3" s="292"/>
      <c r="T3" s="292"/>
      <c r="U3" s="292"/>
      <c r="V3" s="292"/>
      <c r="W3" s="292"/>
      <c r="X3" s="292"/>
      <c r="Y3" s="292"/>
      <c r="Z3" s="292"/>
    </row>
    <row r="4" spans="2:26" ht="20.100000000000001" customHeight="1" thickBot="1" x14ac:dyDescent="0.3">
      <c r="B4" s="6"/>
      <c r="C4" s="269" t="s">
        <v>99</v>
      </c>
      <c r="D4" s="270"/>
      <c r="E4" s="270"/>
      <c r="F4" s="270"/>
      <c r="G4" s="271"/>
      <c r="H4" s="271"/>
      <c r="I4" s="271"/>
      <c r="J4" s="271"/>
      <c r="K4" s="272"/>
      <c r="L4" s="10"/>
      <c r="M4" s="292"/>
      <c r="N4" s="292"/>
      <c r="O4" s="292"/>
      <c r="P4" s="292"/>
      <c r="Q4" s="292"/>
      <c r="R4" s="292"/>
      <c r="S4" s="292"/>
      <c r="T4" s="292"/>
      <c r="U4" s="292"/>
      <c r="V4" s="292"/>
      <c r="W4" s="292"/>
      <c r="X4" s="292"/>
      <c r="Y4" s="292"/>
      <c r="Z4" s="292"/>
    </row>
    <row r="5" spans="2:26" ht="18.75" customHeight="1" thickBot="1" x14ac:dyDescent="0.3">
      <c r="B5" s="6"/>
      <c r="C5" s="15"/>
      <c r="D5" s="16"/>
      <c r="E5" s="16"/>
      <c r="F5" s="16"/>
      <c r="G5" s="17"/>
      <c r="H5" s="18"/>
      <c r="I5" s="18"/>
      <c r="J5" s="18"/>
      <c r="K5" s="18"/>
      <c r="L5" s="10"/>
      <c r="M5" s="292"/>
      <c r="N5" s="292"/>
      <c r="O5" s="292"/>
      <c r="P5" s="292"/>
      <c r="Q5" s="292"/>
      <c r="R5" s="292"/>
      <c r="S5" s="292"/>
      <c r="T5" s="292"/>
      <c r="U5" s="292"/>
      <c r="V5" s="292"/>
      <c r="W5" s="292"/>
      <c r="X5" s="292"/>
      <c r="Y5" s="292"/>
      <c r="Z5" s="292"/>
    </row>
    <row r="6" spans="2:26" s="284" customFormat="1" ht="20.100000000000001" customHeight="1" thickBot="1" x14ac:dyDescent="0.3">
      <c r="B6" s="19"/>
      <c r="C6" s="261" t="s">
        <v>1</v>
      </c>
      <c r="D6" s="262"/>
      <c r="E6" s="262"/>
      <c r="F6" s="262"/>
      <c r="G6" s="263"/>
      <c r="H6" s="263"/>
      <c r="I6" s="263"/>
      <c r="J6" s="263"/>
      <c r="K6" s="264"/>
      <c r="L6" s="24"/>
      <c r="M6" s="293"/>
      <c r="N6" s="293"/>
      <c r="O6" s="293"/>
      <c r="P6" s="293"/>
      <c r="Q6" s="293"/>
      <c r="R6" s="293"/>
      <c r="S6" s="293"/>
      <c r="T6" s="293"/>
      <c r="U6" s="293"/>
      <c r="V6" s="293"/>
      <c r="W6" s="293"/>
      <c r="X6" s="293"/>
      <c r="Y6" s="293"/>
      <c r="Z6" s="293"/>
    </row>
    <row r="7" spans="2:26" s="284" customFormat="1" ht="10.5" customHeight="1" thickBot="1" x14ac:dyDescent="0.3">
      <c r="B7" s="19"/>
      <c r="C7" s="296"/>
      <c r="D7" s="297"/>
      <c r="E7" s="297"/>
      <c r="F7" s="297"/>
      <c r="G7" s="298"/>
      <c r="H7" s="298"/>
      <c r="I7" s="298"/>
      <c r="J7" s="298"/>
      <c r="K7" s="298"/>
      <c r="L7" s="24"/>
      <c r="M7" s="293"/>
      <c r="N7" s="293"/>
      <c r="O7" s="293"/>
      <c r="P7" s="293"/>
      <c r="Q7" s="293"/>
      <c r="R7" s="293"/>
      <c r="S7" s="293"/>
      <c r="T7" s="293"/>
      <c r="U7" s="293"/>
      <c r="V7" s="293"/>
      <c r="W7" s="293"/>
      <c r="X7" s="293"/>
      <c r="Y7" s="293"/>
      <c r="Z7" s="293"/>
    </row>
    <row r="8" spans="2:26" s="284" customFormat="1" ht="21" customHeight="1" thickBot="1" x14ac:dyDescent="0.3">
      <c r="B8" s="19"/>
      <c r="C8" s="296"/>
      <c r="D8" s="297"/>
      <c r="E8" s="297"/>
      <c r="F8" s="301" t="s">
        <v>98</v>
      </c>
      <c r="G8" s="302"/>
      <c r="H8" s="302"/>
      <c r="I8" s="303"/>
      <c r="J8" s="298"/>
      <c r="K8" s="298"/>
      <c r="L8" s="24"/>
      <c r="M8" s="293"/>
      <c r="N8" s="293"/>
      <c r="O8" s="293"/>
      <c r="P8" s="293"/>
      <c r="Q8" s="293"/>
      <c r="R8" s="293"/>
      <c r="S8" s="293"/>
      <c r="T8" s="293"/>
      <c r="U8" s="293"/>
      <c r="V8" s="293"/>
      <c r="W8" s="293"/>
      <c r="X8" s="293"/>
      <c r="Y8" s="293"/>
      <c r="Z8" s="293"/>
    </row>
    <row r="9" spans="2:26" ht="18.75" customHeight="1" thickBot="1" x14ac:dyDescent="0.3">
      <c r="B9" s="6"/>
      <c r="C9" s="26"/>
      <c r="D9" s="26"/>
      <c r="E9" s="26"/>
      <c r="F9" s="26"/>
      <c r="G9" s="26"/>
      <c r="H9" s="26"/>
      <c r="I9" s="5"/>
      <c r="J9" s="299"/>
      <c r="K9" s="5"/>
      <c r="L9" s="10"/>
      <c r="M9" s="292"/>
      <c r="N9" s="292"/>
      <c r="O9" s="292"/>
      <c r="P9" s="292"/>
      <c r="Q9" s="292"/>
      <c r="R9" s="292"/>
      <c r="S9" s="292"/>
      <c r="T9" s="292"/>
      <c r="U9" s="292"/>
      <c r="V9" s="292"/>
      <c r="W9" s="292"/>
      <c r="X9" s="292"/>
      <c r="Y9" s="292"/>
      <c r="Z9" s="292"/>
    </row>
    <row r="10" spans="2:26" ht="18.75" customHeight="1" thickBot="1" x14ac:dyDescent="0.3">
      <c r="B10" s="6"/>
      <c r="C10" s="273" t="s">
        <v>2</v>
      </c>
      <c r="D10" s="274"/>
      <c r="E10" s="274"/>
      <c r="F10" s="274"/>
      <c r="G10" s="274"/>
      <c r="H10" s="274"/>
      <c r="I10" s="274"/>
      <c r="J10" s="274"/>
      <c r="K10" s="275"/>
      <c r="L10" s="10"/>
      <c r="M10" s="292"/>
      <c r="N10" s="292"/>
      <c r="O10" s="292"/>
      <c r="P10" s="292"/>
      <c r="Q10" s="292"/>
      <c r="R10" s="292"/>
      <c r="S10" s="292"/>
      <c r="T10" s="292"/>
      <c r="U10" s="292"/>
      <c r="V10" s="292"/>
      <c r="W10" s="292"/>
      <c r="X10" s="292"/>
      <c r="Y10" s="292"/>
      <c r="Z10" s="292"/>
    </row>
    <row r="11" spans="2:26" ht="18.75" customHeight="1" thickBot="1" x14ac:dyDescent="0.3">
      <c r="B11" s="6"/>
      <c r="C11" s="29" t="s">
        <v>3</v>
      </c>
      <c r="D11" s="30"/>
      <c r="E11" s="30"/>
      <c r="F11" s="31"/>
      <c r="G11" s="32" t="s">
        <v>4</v>
      </c>
      <c r="H11" s="32" t="s">
        <v>5</v>
      </c>
      <c r="I11" s="32" t="s">
        <v>6</v>
      </c>
      <c r="J11" s="32" t="s">
        <v>7</v>
      </c>
      <c r="K11" s="33" t="s">
        <v>8</v>
      </c>
      <c r="L11" s="10"/>
      <c r="M11" s="292"/>
      <c r="N11" s="292"/>
      <c r="O11" s="292"/>
      <c r="P11" s="292"/>
      <c r="Q11" s="292"/>
      <c r="R11" s="292"/>
      <c r="S11" s="292"/>
      <c r="T11" s="292"/>
      <c r="U11" s="292"/>
      <c r="V11" s="292"/>
      <c r="W11" s="292"/>
      <c r="X11" s="292"/>
      <c r="Y11" s="292"/>
      <c r="Z11" s="292"/>
    </row>
    <row r="12" spans="2:26" ht="18.75" customHeight="1" thickBot="1" x14ac:dyDescent="0.3">
      <c r="B12" s="34">
        <v>1</v>
      </c>
      <c r="C12" s="35"/>
      <c r="D12" s="36"/>
      <c r="E12" s="36" t="s">
        <v>4</v>
      </c>
      <c r="F12" s="37"/>
      <c r="G12" s="38">
        <v>0</v>
      </c>
      <c r="H12" s="39">
        <f>Formulas!H10</f>
        <v>0</v>
      </c>
      <c r="I12" s="40">
        <f>Formulas!I10</f>
        <v>0</v>
      </c>
      <c r="J12" s="41">
        <f>Formulas!J10</f>
        <v>0</v>
      </c>
      <c r="K12" s="42">
        <f>Formulas!K10</f>
        <v>0</v>
      </c>
      <c r="L12" s="10"/>
      <c r="M12" s="292"/>
      <c r="N12" s="292"/>
      <c r="O12" s="292"/>
      <c r="P12" s="292"/>
      <c r="Q12" s="292"/>
      <c r="R12" s="292"/>
      <c r="S12" s="292"/>
      <c r="T12" s="292"/>
      <c r="U12" s="292"/>
      <c r="V12" s="292"/>
      <c r="W12" s="292"/>
      <c r="X12" s="292"/>
      <c r="Y12" s="292"/>
      <c r="Z12" s="292"/>
    </row>
    <row r="13" spans="2:26" ht="9" customHeight="1" thickBot="1" x14ac:dyDescent="0.3">
      <c r="B13" s="6"/>
      <c r="C13" s="1"/>
      <c r="D13" s="3"/>
      <c r="E13" s="3"/>
      <c r="F13" s="3"/>
      <c r="G13" s="43"/>
      <c r="H13" s="44"/>
      <c r="I13" s="43"/>
      <c r="J13" s="45"/>
      <c r="K13" s="46"/>
      <c r="L13" s="10"/>
      <c r="M13" s="292"/>
      <c r="N13" s="292"/>
      <c r="O13" s="292"/>
      <c r="P13" s="292"/>
      <c r="Q13" s="292"/>
      <c r="R13" s="292"/>
      <c r="S13" s="292"/>
      <c r="T13" s="292"/>
      <c r="U13" s="292"/>
      <c r="V13" s="292"/>
      <c r="W13" s="292"/>
      <c r="X13" s="292"/>
      <c r="Y13" s="292"/>
      <c r="Z13" s="292"/>
    </row>
    <row r="14" spans="2:26" s="285" customFormat="1" ht="18.75" customHeight="1" thickBot="1" x14ac:dyDescent="0.3">
      <c r="B14" s="6"/>
      <c r="C14" s="29" t="s">
        <v>9</v>
      </c>
      <c r="D14" s="30"/>
      <c r="E14" s="30"/>
      <c r="F14" s="31"/>
      <c r="G14" s="32" t="s">
        <v>4</v>
      </c>
      <c r="H14" s="32" t="s">
        <v>5</v>
      </c>
      <c r="I14" s="32" t="s">
        <v>6</v>
      </c>
      <c r="J14" s="32" t="s">
        <v>7</v>
      </c>
      <c r="K14" s="33" t="s">
        <v>8</v>
      </c>
      <c r="L14" s="47"/>
      <c r="M14" s="294"/>
      <c r="N14" s="294"/>
      <c r="O14" s="294"/>
      <c r="P14" s="294"/>
      <c r="Q14" s="294"/>
      <c r="R14" s="294"/>
      <c r="S14" s="294"/>
      <c r="T14" s="294"/>
      <c r="U14" s="294"/>
      <c r="V14" s="294"/>
      <c r="W14" s="294"/>
      <c r="X14" s="294"/>
      <c r="Y14" s="294"/>
      <c r="Z14" s="294"/>
    </row>
    <row r="15" spans="2:26" ht="18.75" customHeight="1" x14ac:dyDescent="0.25">
      <c r="B15" s="34">
        <v>2</v>
      </c>
      <c r="C15" s="48"/>
      <c r="D15" s="36"/>
      <c r="E15" s="36" t="s">
        <v>10</v>
      </c>
      <c r="F15" s="49"/>
      <c r="G15" s="38">
        <v>0</v>
      </c>
      <c r="H15" s="50">
        <v>0.5</v>
      </c>
      <c r="I15" s="40">
        <f>Formulas!I13</f>
        <v>0</v>
      </c>
      <c r="J15" s="51">
        <f>Formulas!J13</f>
        <v>0</v>
      </c>
      <c r="K15" s="42">
        <f>Formulas!K13</f>
        <v>0</v>
      </c>
      <c r="L15" s="10"/>
      <c r="M15" s="292"/>
      <c r="N15" s="292"/>
      <c r="O15" s="292"/>
      <c r="P15" s="292"/>
      <c r="Q15" s="292"/>
      <c r="R15" s="292"/>
      <c r="S15" s="292"/>
      <c r="T15" s="292"/>
      <c r="U15" s="292"/>
      <c r="V15" s="292"/>
      <c r="W15" s="292"/>
      <c r="X15" s="292"/>
      <c r="Y15" s="292"/>
      <c r="Z15" s="292"/>
    </row>
    <row r="16" spans="2:26" s="285" customFormat="1" ht="18.75" customHeight="1" thickBot="1" x14ac:dyDescent="0.3">
      <c r="B16" s="34">
        <v>3</v>
      </c>
      <c r="C16" s="52"/>
      <c r="D16" s="53"/>
      <c r="E16" s="53" t="s">
        <v>11</v>
      </c>
      <c r="F16" s="54"/>
      <c r="G16" s="55">
        <v>0</v>
      </c>
      <c r="H16" s="39">
        <f>Formulas!H14</f>
        <v>0</v>
      </c>
      <c r="I16" s="56">
        <f>Formulas!I14</f>
        <v>0</v>
      </c>
      <c r="J16" s="57">
        <f>Formulas!J14</f>
        <v>0</v>
      </c>
      <c r="K16" s="58">
        <f>Formulas!K14</f>
        <v>0</v>
      </c>
      <c r="L16" s="47"/>
      <c r="M16" s="294"/>
      <c r="N16" s="294"/>
      <c r="O16" s="294"/>
      <c r="P16" s="305"/>
      <c r="Q16" s="294"/>
      <c r="R16" s="300"/>
      <c r="S16" s="294"/>
      <c r="T16" s="294"/>
      <c r="U16" s="294"/>
      <c r="V16" s="294"/>
      <c r="W16" s="294"/>
      <c r="X16" s="294"/>
      <c r="Y16" s="294"/>
      <c r="Z16" s="294"/>
    </row>
    <row r="17" spans="2:26" ht="18.75" customHeight="1" thickBot="1" x14ac:dyDescent="0.3">
      <c r="B17" s="34">
        <v>4</v>
      </c>
      <c r="C17" s="59"/>
      <c r="D17" s="60"/>
      <c r="E17" s="61" t="str">
        <f>Formulas!E15</f>
        <v/>
      </c>
      <c r="F17" s="62"/>
      <c r="G17" s="256"/>
      <c r="H17" s="63" t="s">
        <v>12</v>
      </c>
      <c r="I17" s="64"/>
      <c r="J17" s="65"/>
      <c r="K17" s="66"/>
      <c r="L17" s="10"/>
      <c r="M17" s="292"/>
      <c r="N17" s="292"/>
      <c r="O17" s="292"/>
      <c r="P17" s="292"/>
      <c r="Q17" s="292"/>
      <c r="R17" s="292"/>
      <c r="S17" s="292"/>
      <c r="T17" s="292"/>
      <c r="U17" s="292"/>
      <c r="V17" s="292"/>
      <c r="W17" s="292"/>
      <c r="X17" s="292"/>
      <c r="Y17" s="292"/>
      <c r="Z17" s="292"/>
    </row>
    <row r="18" spans="2:26" ht="24.95" customHeight="1" thickBot="1" x14ac:dyDescent="0.3">
      <c r="B18" s="6"/>
      <c r="C18" s="119"/>
      <c r="D18" s="5"/>
      <c r="E18" s="67" t="str">
        <f>Formulas!E16</f>
        <v/>
      </c>
      <c r="F18" s="5"/>
      <c r="G18" s="68"/>
      <c r="H18" s="69"/>
      <c r="I18" s="68"/>
      <c r="J18" s="70"/>
      <c r="K18" s="68"/>
      <c r="L18" s="10"/>
      <c r="M18" s="292"/>
      <c r="N18" s="292"/>
      <c r="O18" s="292"/>
      <c r="P18" s="292"/>
      <c r="Q18" s="292"/>
      <c r="R18" s="292"/>
      <c r="S18" s="292"/>
      <c r="T18" s="292"/>
      <c r="U18" s="292"/>
      <c r="V18" s="292"/>
      <c r="W18" s="292"/>
      <c r="X18" s="292"/>
      <c r="Y18" s="292"/>
      <c r="Z18" s="292"/>
    </row>
    <row r="19" spans="2:26" ht="18.75" customHeight="1" thickBot="1" x14ac:dyDescent="0.3">
      <c r="B19" s="6"/>
      <c r="C19" s="273" t="s">
        <v>13</v>
      </c>
      <c r="D19" s="274"/>
      <c r="E19" s="274"/>
      <c r="F19" s="274"/>
      <c r="G19" s="276"/>
      <c r="H19" s="274"/>
      <c r="I19" s="276"/>
      <c r="J19" s="274"/>
      <c r="K19" s="277"/>
      <c r="L19" s="10"/>
      <c r="M19" s="292"/>
      <c r="N19" s="292"/>
      <c r="O19" s="292"/>
      <c r="P19" s="292"/>
      <c r="Q19" s="292"/>
      <c r="R19" s="292"/>
      <c r="S19" s="292"/>
      <c r="T19" s="292"/>
      <c r="U19" s="292"/>
      <c r="V19" s="292"/>
      <c r="W19" s="292"/>
      <c r="X19" s="292"/>
      <c r="Y19" s="292"/>
      <c r="Z19" s="292"/>
    </row>
    <row r="20" spans="2:26" ht="18.75" customHeight="1" thickBot="1" x14ac:dyDescent="0.3">
      <c r="B20" s="6"/>
      <c r="C20" s="29" t="s">
        <v>14</v>
      </c>
      <c r="D20" s="30"/>
      <c r="E20" s="30"/>
      <c r="F20" s="30"/>
      <c r="G20" s="74" t="s">
        <v>15</v>
      </c>
      <c r="H20" s="75"/>
      <c r="I20" s="76"/>
      <c r="J20" s="77"/>
      <c r="K20" s="78"/>
      <c r="L20" s="10"/>
      <c r="M20" s="292"/>
      <c r="N20" s="292"/>
      <c r="O20" s="292"/>
      <c r="P20" s="292"/>
      <c r="Q20" s="292"/>
      <c r="R20" s="292"/>
      <c r="S20" s="292"/>
      <c r="T20" s="292"/>
      <c r="U20" s="292"/>
      <c r="V20" s="292"/>
      <c r="W20" s="292"/>
      <c r="X20" s="292"/>
      <c r="Y20" s="292"/>
      <c r="Z20" s="292"/>
    </row>
    <row r="21" spans="2:26" ht="18.75" customHeight="1" thickBot="1" x14ac:dyDescent="0.3">
      <c r="B21" s="6"/>
      <c r="C21" s="29"/>
      <c r="D21" s="30" t="s">
        <v>16</v>
      </c>
      <c r="E21" s="30"/>
      <c r="F21" s="31"/>
      <c r="G21" s="32" t="s">
        <v>4</v>
      </c>
      <c r="H21" s="32" t="s">
        <v>5</v>
      </c>
      <c r="I21" s="32" t="s">
        <v>6</v>
      </c>
      <c r="J21" s="32" t="s">
        <v>7</v>
      </c>
      <c r="K21" s="33" t="s">
        <v>17</v>
      </c>
      <c r="L21" s="10"/>
      <c r="M21" s="292"/>
      <c r="N21" s="292"/>
      <c r="O21" s="292"/>
      <c r="P21" s="292"/>
      <c r="Q21" s="292"/>
      <c r="R21" s="292"/>
      <c r="S21" s="292"/>
      <c r="T21" s="292"/>
      <c r="U21" s="292"/>
      <c r="V21" s="292"/>
      <c r="W21" s="292"/>
      <c r="X21" s="292"/>
      <c r="Y21" s="292"/>
      <c r="Z21" s="292"/>
    </row>
    <row r="22" spans="2:26" ht="18.75" customHeight="1" thickBot="1" x14ac:dyDescent="0.3">
      <c r="B22" s="34">
        <v>5</v>
      </c>
      <c r="C22" s="79"/>
      <c r="D22" s="80"/>
      <c r="E22" s="81" t="s">
        <v>18</v>
      </c>
      <c r="F22" s="82"/>
      <c r="G22" s="83">
        <v>0</v>
      </c>
      <c r="H22" s="84">
        <v>0.5</v>
      </c>
      <c r="I22" s="85">
        <f>Formulas!I20</f>
        <v>0</v>
      </c>
      <c r="J22" s="86">
        <f>Formulas!J20</f>
        <v>0</v>
      </c>
      <c r="K22" s="87">
        <f>Formulas!K20</f>
        <v>0</v>
      </c>
      <c r="L22" s="10"/>
      <c r="M22" s="292"/>
      <c r="N22" s="292"/>
      <c r="O22" s="292"/>
      <c r="P22" s="292"/>
      <c r="Q22" s="292"/>
      <c r="R22" s="292"/>
      <c r="S22" s="292"/>
      <c r="T22" s="292"/>
      <c r="U22" s="292"/>
      <c r="V22" s="292"/>
      <c r="W22" s="292"/>
      <c r="X22" s="292"/>
      <c r="Y22" s="292"/>
      <c r="Z22" s="292"/>
    </row>
    <row r="23" spans="2:26" ht="18.75" customHeight="1" x14ac:dyDescent="0.25">
      <c r="B23" s="34">
        <v>6</v>
      </c>
      <c r="C23" s="79"/>
      <c r="D23" s="80"/>
      <c r="E23" s="88" t="s">
        <v>19</v>
      </c>
      <c r="F23" s="49"/>
      <c r="G23" s="89">
        <v>0</v>
      </c>
      <c r="H23" s="39" t="str">
        <f>Formulas!H21</f>
        <v/>
      </c>
      <c r="I23" s="90">
        <f>Formulas!I21</f>
        <v>0</v>
      </c>
      <c r="J23" s="91">
        <f>Formulas!J21</f>
        <v>0</v>
      </c>
      <c r="K23" s="92">
        <f>Formulas!K21</f>
        <v>0</v>
      </c>
      <c r="L23" s="10"/>
      <c r="M23" s="292"/>
      <c r="N23" s="292"/>
      <c r="O23" s="292"/>
      <c r="P23" s="292"/>
      <c r="Q23" s="292"/>
      <c r="R23" s="292"/>
      <c r="S23" s="292"/>
      <c r="T23" s="292"/>
      <c r="U23" s="292"/>
      <c r="V23" s="292"/>
      <c r="W23" s="292"/>
      <c r="X23" s="292"/>
      <c r="Y23" s="292"/>
      <c r="Z23" s="292"/>
    </row>
    <row r="24" spans="2:26" s="286" customFormat="1" ht="18.75" customHeight="1" x14ac:dyDescent="0.3">
      <c r="B24" s="34">
        <v>7</v>
      </c>
      <c r="C24" s="93"/>
      <c r="D24" s="94"/>
      <c r="E24" s="95" t="s">
        <v>20</v>
      </c>
      <c r="F24" s="96"/>
      <c r="G24" s="97">
        <v>0</v>
      </c>
      <c r="H24" s="39" t="str">
        <f>Formulas!H22</f>
        <v/>
      </c>
      <c r="I24" s="98">
        <f>Formulas!I22</f>
        <v>0</v>
      </c>
      <c r="J24" s="99">
        <f>Formulas!J22</f>
        <v>0</v>
      </c>
      <c r="K24" s="92">
        <f>Formulas!K22</f>
        <v>0</v>
      </c>
      <c r="L24" s="100"/>
      <c r="M24" s="295"/>
      <c r="N24" s="295"/>
      <c r="O24" s="295"/>
      <c r="P24" s="295"/>
      <c r="Q24" s="295"/>
      <c r="R24" s="295"/>
      <c r="S24" s="295"/>
      <c r="T24" s="295"/>
      <c r="U24" s="295"/>
      <c r="V24" s="295"/>
      <c r="W24" s="295"/>
      <c r="X24" s="295"/>
      <c r="Y24" s="295"/>
      <c r="Z24" s="295"/>
    </row>
    <row r="25" spans="2:26" s="286" customFormat="1" ht="18.75" customHeight="1" thickBot="1" x14ac:dyDescent="0.35">
      <c r="B25" s="34">
        <v>8</v>
      </c>
      <c r="C25" s="102"/>
      <c r="D25" s="103"/>
      <c r="E25" s="104" t="s">
        <v>20</v>
      </c>
      <c r="F25" s="105"/>
      <c r="G25" s="106">
        <v>0</v>
      </c>
      <c r="H25" s="107" t="str">
        <f>Formulas!H23</f>
        <v/>
      </c>
      <c r="I25" s="108">
        <f>Formulas!I23</f>
        <v>0</v>
      </c>
      <c r="J25" s="109">
        <f>Formulas!J23</f>
        <v>0</v>
      </c>
      <c r="K25" s="92">
        <f>Formulas!K23</f>
        <v>0</v>
      </c>
      <c r="L25" s="100"/>
      <c r="M25" s="295"/>
      <c r="N25" s="295"/>
      <c r="O25" s="295"/>
      <c r="P25" s="295"/>
      <c r="Q25" s="295"/>
      <c r="R25" s="295"/>
      <c r="S25" s="295"/>
      <c r="T25" s="295"/>
      <c r="U25" s="295"/>
      <c r="V25" s="295"/>
      <c r="W25" s="295"/>
      <c r="X25" s="295"/>
      <c r="Y25" s="295"/>
      <c r="Z25" s="295"/>
    </row>
    <row r="26" spans="2:26" s="286" customFormat="1" ht="18" customHeight="1" thickBot="1" x14ac:dyDescent="0.35">
      <c r="B26" s="110"/>
      <c r="C26" s="111" t="s">
        <v>21</v>
      </c>
      <c r="D26" s="112"/>
      <c r="E26" s="113"/>
      <c r="F26" s="114"/>
      <c r="G26" s="115">
        <f>Formulas!G24</f>
        <v>0</v>
      </c>
      <c r="H26" s="116"/>
      <c r="I26" s="85">
        <f>Formulas!I24</f>
        <v>0</v>
      </c>
      <c r="J26" s="117"/>
      <c r="K26" s="118">
        <f>Formulas!K24</f>
        <v>0</v>
      </c>
      <c r="L26" s="100"/>
      <c r="M26" s="295"/>
      <c r="N26" s="295"/>
      <c r="O26" s="295"/>
      <c r="P26" s="295"/>
      <c r="Q26" s="295"/>
      <c r="R26" s="295"/>
      <c r="S26" s="295"/>
      <c r="T26" s="295"/>
      <c r="U26" s="295"/>
      <c r="V26" s="295"/>
      <c r="W26" s="295"/>
      <c r="X26" s="295"/>
      <c r="Y26" s="295"/>
      <c r="Z26" s="295"/>
    </row>
    <row r="27" spans="2:26" ht="9" customHeight="1" thickBot="1" x14ac:dyDescent="0.3">
      <c r="B27" s="6"/>
      <c r="C27" s="119"/>
      <c r="D27" s="120"/>
      <c r="E27" s="120"/>
      <c r="F27" s="120"/>
      <c r="G27" s="5"/>
      <c r="H27" s="5"/>
      <c r="I27" s="119"/>
      <c r="J27" s="3"/>
      <c r="K27" s="5"/>
      <c r="L27" s="10"/>
      <c r="M27" s="292"/>
      <c r="N27" s="292"/>
      <c r="O27" s="292"/>
      <c r="P27" s="292"/>
      <c r="Q27" s="292"/>
      <c r="R27" s="292"/>
      <c r="S27" s="292"/>
      <c r="T27" s="292"/>
      <c r="U27" s="292"/>
      <c r="V27" s="292"/>
      <c r="W27" s="292"/>
      <c r="X27" s="292"/>
      <c r="Y27" s="292"/>
      <c r="Z27" s="292"/>
    </row>
    <row r="28" spans="2:26" s="286" customFormat="1" ht="18.75" customHeight="1" thickBot="1" x14ac:dyDescent="0.35">
      <c r="B28" s="110"/>
      <c r="C28" s="121" t="s">
        <v>22</v>
      </c>
      <c r="D28" s="122" t="s">
        <v>23</v>
      </c>
      <c r="E28" s="122"/>
      <c r="F28" s="123"/>
      <c r="G28" s="32" t="s">
        <v>24</v>
      </c>
      <c r="H28" s="32" t="s">
        <v>5</v>
      </c>
      <c r="I28" s="33" t="s">
        <v>6</v>
      </c>
      <c r="J28" s="124"/>
      <c r="K28" s="125"/>
      <c r="L28" s="100"/>
      <c r="M28" s="295"/>
      <c r="N28" s="295"/>
      <c r="O28" s="295"/>
      <c r="P28" s="295"/>
      <c r="Q28" s="295"/>
      <c r="R28" s="295"/>
      <c r="S28" s="295"/>
      <c r="T28" s="295"/>
      <c r="U28" s="295"/>
      <c r="V28" s="295"/>
      <c r="W28" s="295"/>
      <c r="X28" s="295"/>
      <c r="Y28" s="295"/>
      <c r="Z28" s="295"/>
    </row>
    <row r="29" spans="2:26" ht="18.75" customHeight="1" x14ac:dyDescent="0.25">
      <c r="B29" s="34">
        <v>9</v>
      </c>
      <c r="C29" s="79"/>
      <c r="D29" s="80"/>
      <c r="E29" s="81" t="s">
        <v>25</v>
      </c>
      <c r="F29" s="126"/>
      <c r="G29" s="89">
        <v>0</v>
      </c>
      <c r="H29" s="127">
        <v>0.75</v>
      </c>
      <c r="I29" s="128">
        <f>Formulas!I27</f>
        <v>0</v>
      </c>
      <c r="J29" s="124"/>
      <c r="K29" s="125"/>
      <c r="L29" s="10"/>
      <c r="M29" s="292"/>
      <c r="N29" s="292"/>
      <c r="O29" s="292"/>
      <c r="P29" s="292"/>
      <c r="Q29" s="292"/>
      <c r="R29" s="292"/>
      <c r="S29" s="292"/>
      <c r="T29" s="292"/>
      <c r="U29" s="292"/>
      <c r="V29" s="292"/>
      <c r="W29" s="292"/>
      <c r="X29" s="292"/>
      <c r="Y29" s="292"/>
      <c r="Z29" s="292"/>
    </row>
    <row r="30" spans="2:26" s="286" customFormat="1" ht="18.75" customHeight="1" x14ac:dyDescent="0.3">
      <c r="B30" s="34">
        <v>10</v>
      </c>
      <c r="C30" s="93"/>
      <c r="D30" s="94"/>
      <c r="E30" s="129" t="s">
        <v>26</v>
      </c>
      <c r="F30" s="130"/>
      <c r="G30" s="97">
        <v>0</v>
      </c>
      <c r="H30" s="39">
        <v>0.75</v>
      </c>
      <c r="I30" s="131">
        <f>Formulas!I28</f>
        <v>0</v>
      </c>
      <c r="J30" s="124"/>
      <c r="K30" s="125"/>
      <c r="L30" s="100"/>
      <c r="M30" s="295"/>
      <c r="N30" s="295"/>
      <c r="O30" s="295"/>
      <c r="P30" s="295"/>
      <c r="Q30" s="295"/>
      <c r="R30" s="295"/>
      <c r="S30" s="295"/>
      <c r="T30" s="295"/>
      <c r="U30" s="295"/>
      <c r="V30" s="295"/>
      <c r="W30" s="295"/>
      <c r="X30" s="295"/>
      <c r="Y30" s="295"/>
      <c r="Z30" s="295"/>
    </row>
    <row r="31" spans="2:26" s="286" customFormat="1" ht="18.75" customHeight="1" thickBot="1" x14ac:dyDescent="0.35">
      <c r="B31" s="34">
        <v>11</v>
      </c>
      <c r="C31" s="102"/>
      <c r="D31" s="103"/>
      <c r="E31" s="132" t="s">
        <v>27</v>
      </c>
      <c r="F31" s="133"/>
      <c r="G31" s="106">
        <v>0</v>
      </c>
      <c r="H31" s="107">
        <v>0.75</v>
      </c>
      <c r="I31" s="134">
        <f>Formulas!I29</f>
        <v>0</v>
      </c>
      <c r="J31" s="124"/>
      <c r="K31" s="125"/>
      <c r="L31" s="100"/>
      <c r="M31" s="295"/>
      <c r="N31" s="295"/>
      <c r="O31" s="295"/>
      <c r="P31" s="295"/>
      <c r="Q31" s="295"/>
      <c r="R31" s="295"/>
      <c r="S31" s="295"/>
      <c r="T31" s="295"/>
      <c r="U31" s="295"/>
      <c r="V31" s="295"/>
      <c r="W31" s="295"/>
      <c r="X31" s="295"/>
      <c r="Y31" s="295"/>
      <c r="Z31" s="295"/>
    </row>
    <row r="32" spans="2:26" ht="30.75" customHeight="1" thickBot="1" x14ac:dyDescent="0.3">
      <c r="B32" s="6"/>
      <c r="C32" s="25" t="s">
        <v>28</v>
      </c>
      <c r="D32" s="120"/>
      <c r="E32" s="120"/>
      <c r="F32" s="120"/>
      <c r="G32" s="5"/>
      <c r="H32" s="5"/>
      <c r="I32" s="5"/>
      <c r="J32" s="5"/>
      <c r="K32" s="5"/>
      <c r="L32" s="10"/>
      <c r="M32" s="292"/>
      <c r="N32" s="292"/>
      <c r="O32" s="292"/>
      <c r="P32" s="292"/>
      <c r="Q32" s="292"/>
      <c r="R32" s="292"/>
      <c r="S32" s="292"/>
      <c r="T32" s="292"/>
      <c r="U32" s="292"/>
      <c r="V32" s="292"/>
      <c r="W32" s="292"/>
      <c r="X32" s="292"/>
      <c r="Y32" s="292"/>
      <c r="Z32" s="292"/>
    </row>
    <row r="33" spans="2:26" ht="18.75" customHeight="1" thickBot="1" x14ac:dyDescent="0.3">
      <c r="B33" s="6"/>
      <c r="C33" s="5"/>
      <c r="D33" s="120"/>
      <c r="E33" s="120"/>
      <c r="F33" s="120"/>
      <c r="G33" s="5"/>
      <c r="H33" s="5"/>
      <c r="I33" s="5"/>
      <c r="J33" s="5"/>
      <c r="K33" s="278" t="s">
        <v>29</v>
      </c>
      <c r="L33" s="10"/>
      <c r="M33" s="292"/>
      <c r="N33" s="292"/>
      <c r="O33" s="292"/>
      <c r="P33" s="292"/>
      <c r="Q33" s="292"/>
      <c r="R33" s="292"/>
      <c r="S33" s="292"/>
      <c r="T33" s="292"/>
      <c r="U33" s="292"/>
      <c r="V33" s="292"/>
      <c r="W33" s="292"/>
      <c r="X33" s="292"/>
      <c r="Y33" s="292"/>
      <c r="Z33" s="292"/>
    </row>
    <row r="34" spans="2:26" ht="18.75" customHeight="1" thickBot="1" x14ac:dyDescent="0.3">
      <c r="B34" s="34"/>
      <c r="C34" s="279" t="s">
        <v>22</v>
      </c>
      <c r="D34" s="280" t="s">
        <v>30</v>
      </c>
      <c r="E34" s="281"/>
      <c r="F34" s="282" t="s">
        <v>6</v>
      </c>
      <c r="G34" s="5"/>
      <c r="H34" s="137"/>
      <c r="I34" s="138"/>
      <c r="J34" s="139" t="s">
        <v>31</v>
      </c>
      <c r="K34" s="140">
        <f>Formulas!K32</f>
        <v>0</v>
      </c>
      <c r="L34" s="10"/>
      <c r="M34" s="292"/>
      <c r="N34" s="292"/>
      <c r="O34" s="292"/>
      <c r="P34" s="292"/>
      <c r="Q34" s="292"/>
      <c r="R34" s="292"/>
      <c r="S34" s="292"/>
      <c r="T34" s="292"/>
      <c r="U34" s="292"/>
      <c r="V34" s="292"/>
      <c r="W34" s="292"/>
      <c r="X34" s="292"/>
      <c r="Y34" s="292"/>
      <c r="Z34" s="292"/>
    </row>
    <row r="35" spans="2:26" ht="18.75" customHeight="1" thickBot="1" x14ac:dyDescent="0.3">
      <c r="B35" s="34">
        <v>12</v>
      </c>
      <c r="C35" s="79"/>
      <c r="D35" s="80"/>
      <c r="E35" s="141" t="s">
        <v>32</v>
      </c>
      <c r="F35" s="142">
        <v>0</v>
      </c>
      <c r="G35" s="5"/>
      <c r="H35" s="137"/>
      <c r="I35" s="138"/>
      <c r="J35" s="139" t="s">
        <v>33</v>
      </c>
      <c r="K35" s="143">
        <f>Formulas!K33</f>
        <v>0</v>
      </c>
      <c r="L35" s="10"/>
      <c r="M35" s="292"/>
      <c r="N35" s="292"/>
      <c r="O35" s="292"/>
      <c r="P35" s="292"/>
      <c r="Q35" s="292"/>
      <c r="R35" s="292"/>
      <c r="S35" s="292"/>
      <c r="T35" s="292"/>
      <c r="U35" s="292"/>
      <c r="V35" s="292"/>
      <c r="W35" s="292"/>
      <c r="X35" s="292"/>
      <c r="Y35" s="292"/>
      <c r="Z35" s="292"/>
    </row>
    <row r="36" spans="2:26" ht="18.75" customHeight="1" thickBot="1" x14ac:dyDescent="0.3">
      <c r="B36" s="34">
        <v>13</v>
      </c>
      <c r="C36" s="102"/>
      <c r="D36" s="103"/>
      <c r="E36" s="133" t="s">
        <v>34</v>
      </c>
      <c r="F36" s="144">
        <v>0</v>
      </c>
      <c r="G36" s="5"/>
      <c r="H36" s="145"/>
      <c r="I36" s="146"/>
      <c r="J36" s="147" t="s">
        <v>35</v>
      </c>
      <c r="K36" s="148">
        <f>Formulas!K34</f>
        <v>0</v>
      </c>
      <c r="L36" s="10"/>
      <c r="M36" s="292"/>
      <c r="N36" s="292"/>
      <c r="O36" s="292"/>
      <c r="P36" s="292"/>
      <c r="Q36" s="292"/>
      <c r="R36" s="292"/>
      <c r="S36" s="292"/>
      <c r="T36" s="292"/>
      <c r="U36" s="292"/>
      <c r="V36" s="292"/>
      <c r="W36" s="292"/>
      <c r="X36" s="292"/>
      <c r="Y36" s="292"/>
      <c r="Z36" s="292"/>
    </row>
    <row r="37" spans="2:26" ht="12" customHeight="1" x14ac:dyDescent="0.25">
      <c r="B37" s="6"/>
      <c r="C37" s="5"/>
      <c r="D37" s="5"/>
      <c r="E37" s="5"/>
      <c r="F37" s="5"/>
      <c r="G37" s="5"/>
      <c r="H37" s="5"/>
      <c r="I37" s="5"/>
      <c r="J37" s="5"/>
      <c r="K37" s="5"/>
      <c r="L37" s="10"/>
      <c r="M37" s="292"/>
      <c r="N37" s="292"/>
      <c r="O37" s="292"/>
      <c r="P37" s="292"/>
      <c r="Q37" s="292"/>
      <c r="R37" s="292"/>
      <c r="S37" s="292"/>
      <c r="T37" s="292"/>
      <c r="U37" s="292"/>
      <c r="V37" s="292"/>
      <c r="W37" s="292"/>
      <c r="X37" s="292"/>
      <c r="Y37" s="292"/>
      <c r="Z37" s="292"/>
    </row>
    <row r="38" spans="2:26" s="284" customFormat="1" ht="22.5" customHeight="1" thickBot="1" x14ac:dyDescent="0.3">
      <c r="B38" s="34"/>
      <c r="C38" s="67" t="str">
        <f>Formulas!C36</f>
        <v/>
      </c>
      <c r="D38" s="149"/>
      <c r="E38" s="25"/>
      <c r="F38" s="25"/>
      <c r="G38" s="25"/>
      <c r="H38" s="5"/>
      <c r="I38" s="5"/>
      <c r="J38" s="152"/>
      <c r="K38" s="291"/>
      <c r="L38" s="24"/>
      <c r="M38" s="293"/>
      <c r="N38" s="293"/>
      <c r="O38" s="293"/>
      <c r="P38" s="293"/>
      <c r="Q38" s="293"/>
      <c r="R38" s="293"/>
      <c r="S38" s="293"/>
      <c r="T38" s="293"/>
      <c r="U38" s="293"/>
      <c r="V38" s="293"/>
      <c r="W38" s="293"/>
      <c r="X38" s="293"/>
      <c r="Y38" s="293"/>
      <c r="Z38" s="293"/>
    </row>
    <row r="39" spans="2:26" ht="18.600000000000001" customHeight="1" thickBot="1" x14ac:dyDescent="0.3">
      <c r="B39" s="6"/>
      <c r="C39" s="5"/>
      <c r="D39" s="26"/>
      <c r="E39" s="290"/>
      <c r="F39" s="5"/>
      <c r="G39" s="5"/>
      <c r="H39" s="5"/>
      <c r="I39" s="5"/>
      <c r="J39" s="152" t="s">
        <v>40</v>
      </c>
      <c r="K39" s="260">
        <f>Formulas!K38</f>
        <v>0</v>
      </c>
      <c r="L39" s="10"/>
      <c r="M39" s="292"/>
      <c r="N39" s="292"/>
      <c r="O39" s="292"/>
      <c r="P39" s="292"/>
      <c r="Q39" s="292"/>
      <c r="R39" s="292"/>
      <c r="S39" s="292"/>
      <c r="T39" s="292"/>
      <c r="U39" s="292"/>
      <c r="V39" s="292"/>
      <c r="W39" s="292"/>
      <c r="X39" s="292"/>
      <c r="Y39" s="292"/>
      <c r="Z39" s="292"/>
    </row>
    <row r="40" spans="2:26" ht="18.75" customHeight="1" thickBot="1" x14ac:dyDescent="0.3">
      <c r="B40" s="153"/>
      <c r="C40" s="154"/>
      <c r="D40" s="155"/>
      <c r="E40" s="154"/>
      <c r="F40" s="154"/>
      <c r="G40" s="154"/>
      <c r="H40" s="154"/>
      <c r="I40" s="154"/>
      <c r="J40" s="154"/>
      <c r="K40" s="154"/>
      <c r="L40" s="156"/>
      <c r="M40" s="292"/>
      <c r="N40" s="292"/>
      <c r="O40" s="292"/>
      <c r="P40" s="292"/>
      <c r="Q40" s="292"/>
      <c r="R40" s="292"/>
      <c r="S40" s="292"/>
      <c r="T40" s="292"/>
      <c r="U40" s="292"/>
      <c r="V40" s="292"/>
      <c r="W40" s="292"/>
      <c r="X40" s="292"/>
      <c r="Y40" s="292"/>
      <c r="Z40" s="292"/>
    </row>
    <row r="41" spans="2:26" s="284" customFormat="1" ht="28.5" customHeight="1" x14ac:dyDescent="0.25">
      <c r="B41" s="19"/>
      <c r="C41" s="309" t="s">
        <v>100</v>
      </c>
      <c r="D41" s="309"/>
      <c r="E41" s="309"/>
      <c r="F41" s="25"/>
      <c r="G41" s="25"/>
      <c r="H41" s="25"/>
      <c r="I41" s="25"/>
      <c r="J41" s="25"/>
      <c r="K41" s="25"/>
      <c r="L41" s="24"/>
      <c r="M41" s="293"/>
      <c r="N41" s="293"/>
      <c r="O41" s="293"/>
      <c r="P41" s="293"/>
      <c r="Q41" s="293"/>
      <c r="R41" s="293"/>
      <c r="S41" s="293"/>
      <c r="T41" s="293"/>
      <c r="U41" s="293"/>
      <c r="V41" s="293"/>
      <c r="W41" s="293"/>
      <c r="X41" s="293"/>
      <c r="Y41" s="293"/>
      <c r="Z41" s="293"/>
    </row>
    <row r="42" spans="2:26" ht="22.5" customHeight="1" x14ac:dyDescent="0.25">
      <c r="B42" s="6"/>
      <c r="C42" s="5" t="s">
        <v>41</v>
      </c>
      <c r="D42" s="5"/>
      <c r="E42" s="5"/>
      <c r="F42" s="5"/>
      <c r="G42" s="5"/>
      <c r="H42" s="5"/>
      <c r="I42" s="5"/>
      <c r="J42" s="5"/>
      <c r="K42" s="5"/>
      <c r="L42" s="10"/>
      <c r="M42" s="292"/>
      <c r="N42" s="292"/>
      <c r="O42" s="292"/>
      <c r="P42" s="292"/>
      <c r="Q42" s="292"/>
      <c r="R42" s="292"/>
      <c r="S42" s="292"/>
      <c r="T42" s="292"/>
      <c r="U42" s="292"/>
      <c r="V42" s="292"/>
      <c r="W42" s="292"/>
      <c r="X42" s="292"/>
      <c r="Y42" s="292"/>
      <c r="Z42" s="292"/>
    </row>
    <row r="43" spans="2:26" ht="62.25" customHeight="1" x14ac:dyDescent="0.25">
      <c r="B43" s="6"/>
      <c r="C43" s="5"/>
      <c r="D43" s="5" t="s">
        <v>42</v>
      </c>
      <c r="E43" s="307" t="s">
        <v>43</v>
      </c>
      <c r="F43" s="307"/>
      <c r="G43" s="308"/>
      <c r="H43" s="308"/>
      <c r="I43" s="308"/>
      <c r="J43" s="308"/>
      <c r="K43" s="308"/>
      <c r="L43" s="10"/>
      <c r="M43" s="292"/>
      <c r="N43" s="292"/>
      <c r="O43" s="292"/>
      <c r="P43" s="292"/>
      <c r="Q43" s="292"/>
      <c r="R43" s="292"/>
      <c r="S43" s="292"/>
      <c r="T43" s="292"/>
      <c r="U43" s="292"/>
      <c r="V43" s="292"/>
      <c r="W43" s="292"/>
      <c r="X43" s="292"/>
      <c r="Y43" s="292"/>
      <c r="Z43" s="292"/>
    </row>
    <row r="44" spans="2:26" ht="60.6" customHeight="1" x14ac:dyDescent="0.25">
      <c r="B44" s="6"/>
      <c r="C44" s="5"/>
      <c r="D44" s="5" t="s">
        <v>44</v>
      </c>
      <c r="E44" s="307" t="s">
        <v>45</v>
      </c>
      <c r="F44" s="307"/>
      <c r="G44" s="308"/>
      <c r="H44" s="308"/>
      <c r="I44" s="308"/>
      <c r="J44" s="308"/>
      <c r="K44" s="308"/>
      <c r="L44" s="10"/>
      <c r="M44" s="292"/>
      <c r="N44" s="292"/>
      <c r="O44" s="292"/>
      <c r="P44" s="292"/>
      <c r="Q44" s="292"/>
      <c r="R44" s="292"/>
      <c r="S44" s="292"/>
      <c r="T44" s="292"/>
      <c r="U44" s="292"/>
      <c r="V44" s="292"/>
      <c r="W44" s="292"/>
      <c r="X44" s="292"/>
      <c r="Y44" s="292"/>
      <c r="Z44" s="292"/>
    </row>
    <row r="45" spans="2:26" ht="42" customHeight="1" x14ac:dyDescent="0.25">
      <c r="B45" s="6"/>
      <c r="C45" s="5"/>
      <c r="D45" s="5" t="s">
        <v>46</v>
      </c>
      <c r="E45" s="307" t="s">
        <v>47</v>
      </c>
      <c r="F45" s="307"/>
      <c r="G45" s="308"/>
      <c r="H45" s="308"/>
      <c r="I45" s="308"/>
      <c r="J45" s="308"/>
      <c r="K45" s="308"/>
      <c r="L45" s="10"/>
      <c r="M45" s="292"/>
      <c r="N45" s="292"/>
      <c r="O45" s="292"/>
      <c r="P45" s="292"/>
      <c r="Q45" s="292"/>
      <c r="R45" s="292"/>
      <c r="S45" s="292"/>
      <c r="T45" s="292"/>
      <c r="U45" s="292"/>
      <c r="V45" s="292"/>
      <c r="W45" s="292"/>
      <c r="X45" s="292"/>
      <c r="Y45" s="292"/>
      <c r="Z45" s="292"/>
    </row>
    <row r="46" spans="2:26" ht="60" customHeight="1" x14ac:dyDescent="0.25">
      <c r="B46" s="6"/>
      <c r="C46" s="5"/>
      <c r="D46" s="5" t="s">
        <v>48</v>
      </c>
      <c r="E46" s="307" t="s">
        <v>49</v>
      </c>
      <c r="F46" s="307"/>
      <c r="G46" s="308"/>
      <c r="H46" s="308"/>
      <c r="I46" s="308"/>
      <c r="J46" s="308"/>
      <c r="K46" s="308"/>
      <c r="L46" s="10"/>
      <c r="M46" s="292"/>
      <c r="N46" s="292"/>
      <c r="O46" s="292"/>
      <c r="P46" s="292"/>
      <c r="Q46" s="292"/>
      <c r="R46" s="292"/>
      <c r="S46" s="292"/>
      <c r="T46" s="292"/>
      <c r="U46" s="292"/>
      <c r="V46" s="292"/>
      <c r="W46" s="292"/>
      <c r="X46" s="292"/>
      <c r="Y46" s="292"/>
      <c r="Z46" s="292"/>
    </row>
    <row r="47" spans="2:26" ht="52.5" customHeight="1" x14ac:dyDescent="0.25">
      <c r="B47" s="6"/>
      <c r="C47" s="5"/>
      <c r="D47" s="5" t="s">
        <v>50</v>
      </c>
      <c r="E47" s="307" t="s">
        <v>51</v>
      </c>
      <c r="F47" s="307"/>
      <c r="G47" s="308"/>
      <c r="H47" s="308"/>
      <c r="I47" s="308"/>
      <c r="J47" s="308"/>
      <c r="K47" s="308"/>
      <c r="L47" s="10"/>
      <c r="M47" s="292"/>
      <c r="N47" s="292"/>
      <c r="O47" s="292"/>
      <c r="P47" s="292"/>
      <c r="Q47" s="292"/>
      <c r="R47" s="292"/>
      <c r="S47" s="292"/>
      <c r="T47" s="292"/>
      <c r="U47" s="292"/>
      <c r="V47" s="292"/>
      <c r="W47" s="292"/>
      <c r="X47" s="292"/>
      <c r="Y47" s="292"/>
      <c r="Z47" s="292"/>
    </row>
    <row r="48" spans="2:26" ht="18.75" customHeight="1" x14ac:dyDescent="0.25">
      <c r="B48" s="6"/>
      <c r="C48" s="120" t="s">
        <v>102</v>
      </c>
      <c r="D48" s="5"/>
      <c r="E48" s="26"/>
      <c r="F48" s="26"/>
      <c r="G48" s="157"/>
      <c r="H48" s="157"/>
      <c r="I48" s="157"/>
      <c r="J48" s="157"/>
      <c r="K48" s="157"/>
      <c r="L48" s="10"/>
      <c r="M48" s="292"/>
      <c r="N48" s="292"/>
      <c r="O48" s="292"/>
      <c r="P48" s="292"/>
      <c r="Q48" s="292"/>
      <c r="R48" s="292"/>
      <c r="S48" s="292"/>
      <c r="T48" s="292"/>
      <c r="U48" s="292"/>
      <c r="V48" s="292"/>
      <c r="W48" s="292"/>
      <c r="X48" s="292"/>
      <c r="Y48" s="292"/>
      <c r="Z48" s="292"/>
    </row>
    <row r="49" spans="2:26" ht="33.75" customHeight="1" x14ac:dyDescent="0.25">
      <c r="B49" s="6"/>
      <c r="C49" s="5"/>
      <c r="D49" s="5"/>
      <c r="E49" s="306" t="s">
        <v>101</v>
      </c>
      <c r="F49" s="26"/>
      <c r="G49" s="157"/>
      <c r="H49" s="157"/>
      <c r="I49" s="157"/>
      <c r="J49" s="157"/>
      <c r="K49" s="157"/>
      <c r="L49" s="10"/>
      <c r="M49" s="292"/>
      <c r="N49" s="292"/>
      <c r="O49" s="292"/>
      <c r="P49" s="292"/>
      <c r="Q49" s="292"/>
      <c r="R49" s="292"/>
      <c r="S49" s="292"/>
      <c r="T49" s="292"/>
      <c r="U49" s="292"/>
      <c r="V49" s="292"/>
      <c r="W49" s="292"/>
      <c r="X49" s="292"/>
      <c r="Y49" s="292"/>
      <c r="Z49" s="292"/>
    </row>
    <row r="50" spans="2:26" ht="18.75" customHeight="1" thickBot="1" x14ac:dyDescent="0.3">
      <c r="B50" s="158" t="s">
        <v>52</v>
      </c>
      <c r="C50" s="154"/>
      <c r="D50" s="154"/>
      <c r="E50" s="154"/>
      <c r="F50" s="159"/>
      <c r="G50" s="160"/>
      <c r="H50" s="154"/>
      <c r="I50" s="154"/>
      <c r="J50" s="154"/>
      <c r="K50" s="154"/>
      <c r="L50" s="161" t="str">
        <f>Formulas!L49</f>
        <v xml:space="preserve">v 5.2 - Last Updated 10/01/2025   </v>
      </c>
      <c r="M50" s="292"/>
      <c r="N50" s="292"/>
      <c r="O50" s="292"/>
      <c r="P50" s="292"/>
      <c r="Q50" s="292"/>
      <c r="R50" s="292"/>
      <c r="S50" s="292"/>
      <c r="T50" s="292"/>
      <c r="U50" s="292"/>
      <c r="V50" s="292"/>
      <c r="W50" s="292"/>
      <c r="X50" s="292"/>
      <c r="Y50" s="292"/>
      <c r="Z50" s="292"/>
    </row>
  </sheetData>
  <mergeCells count="6">
    <mergeCell ref="E47:K47"/>
    <mergeCell ref="C41:E41"/>
    <mergeCell ref="E43:K43"/>
    <mergeCell ref="E44:K44"/>
    <mergeCell ref="E45:K45"/>
    <mergeCell ref="E46:K46"/>
  </mergeCells>
  <conditionalFormatting sqref="J35">
    <cfRule type="expression" dxfId="0" priority="1">
      <formula>$K$35&gt;0</formula>
    </cfRule>
  </conditionalFormatting>
  <dataValidations count="13">
    <dataValidation type="decimal" operator="lessThanOrEqual" allowBlank="1" showErrorMessage="1" errorTitle="7(a) Fee Calculator" error="The maximum loan amount is $5,000,000._x000a__x000a_Please enter a loan amount that does not exceed $5,000,000._x000a_" sqref="G12" xr:uid="{6E29C466-EDD5-4525-B3EE-294EEC9EC2C2}">
      <formula1>5000000</formula1>
    </dataValidation>
    <dataValidation type="decimal" operator="lessThanOrEqual" allowBlank="1" showErrorMessage="1" errorTitle="7(a) Loan Fee Calculator" error="You Have Entered a Loan Amount of More than $5,000,000._x000a__x000a_Please Change the Amount to no more than $5,000,000._x000a_" sqref="G16" xr:uid="{385B3E0F-37C4-4D1A-ADEC-3DB86A8D99A9}">
      <formula1>5000000</formula1>
    </dataValidation>
    <dataValidation allowBlank="1" showErrorMessage="1" sqref="H29:H31 G20 H17:H20 K38 H15 G26:H26" xr:uid="{7FA7E709-F1FB-455B-8875-D4C5A3C9E0E0}"/>
    <dataValidation allowBlank="1" showInputMessage="1" showErrorMessage="1" prompt="Note: If You Enter Anything in this Field, this Percentage will No Longer Automatically be Calculated." sqref="H29:H31" xr:uid="{346A92EC-867E-46D9-ACB6-E0214ACA5E3C}"/>
    <dataValidation type="decimal" operator="lessThanOrEqual" allowBlank="1" showErrorMessage="1" errorTitle="7(a) Loan Fee Calculator" error="You Cannot Enter a Loan Amount of More than $5,000,000." sqref="G29:G31 F35:F36 G23:G25" xr:uid="{2CF7855C-BE5D-4507-A21E-D9A44DCB79D8}">
      <formula1>5000000</formula1>
    </dataValidation>
    <dataValidation allowBlank="1" showErrorMessage="1" errorTitle="7(a) Loan Fee Calculator" sqref="F35:F36 G29:G31 G24:G25" xr:uid="{BA4CAE30-D1DF-4E67-B32C-8E20113D05ED}"/>
    <dataValidation allowBlank="1" showInputMessage="1" showErrorMessage="1" prompt="This is a calculated value. If you enter anything here, the Gty % will no longer be calculated for the loan on this row." sqref="H12 H23:H25 H16" xr:uid="{AE89AF86-0017-406E-A7AC-26A347B3401E}"/>
    <dataValidation allowBlank="1" showInputMessage="1" showErrorMessage="1" prompt="This is a calculated value. If you enter anything here, the Guaranty Fee will no longer be calculated for the loan on this row." sqref="K23:K25" xr:uid="{598FF5D1-3964-41B2-8038-A1F009E27E88}"/>
    <dataValidation allowBlank="1" showInputMessage="1" showErrorMessage="1" prompt="This is a calculated value. If you enter anything here, the Gty Amount will no longer be calculated for the loan on this row." sqref="I29:I31" xr:uid="{9F35989C-00EA-4189-A780-1D9C40ABC7B1}"/>
    <dataValidation allowBlank="1" showInputMessage="1" showErrorMessage="1" prompt="This a calculated field. If you enter anything here, the Gty % will not be calculated for the loan on this row." sqref="H23:H25 H12" xr:uid="{8C04EE95-4B19-4560-A440-2B251C6160CC}"/>
    <dataValidation type="whole" operator="lessThanOrEqual" allowBlank="1" showInputMessage="1" showErrorMessage="1" errorTitle="7(a) Loan Fee Calculator" error="The term must be a whole number_x000a_ of 36, or less for EWCP and 60 or less for WCP." sqref="J17" xr:uid="{F155F5EE-8D10-41B6-9755-85DF46ADD84C}">
      <formula1>60</formula1>
    </dataValidation>
    <dataValidation type="decimal" operator="lessThanOrEqual" allowBlank="1" showErrorMessage="1" errorTitle="7(a) Loan Fee Calculator" error="You Have Entered a Loan Amount of less than $1,000,001 or more than $5,000,000._x000a__x000a_Please Change the Loan Amount or Enter it on a Different Row._x000a_" sqref="G17" xr:uid="{78B9BD2C-BB7E-44EB-AC72-000BBA0392BD}">
      <formula1>5000000</formula1>
    </dataValidation>
    <dataValidation type="custom" allowBlank="1" showErrorMessage="1" errorTitle="7(a) Loan Fee Calculator" error="You Cannot Enter a Loan Amount of More than $5,000,000." sqref="G23" xr:uid="{6C0CC917-B9A6-42D4-ADBD-F8B9D20013E5}">
      <formula1>0</formula1>
    </dataValidation>
  </dataValidations>
  <hyperlinks>
    <hyperlink ref="E49" r:id="rId1" xr:uid="{8CADAF68-70D3-4D57-8D83-4CF86E23F22C}"/>
    <hyperlink ref="C41" r:id="rId2" display="From Page 43 of SOP 50-10-7.1" xr:uid="{BD5D6992-4266-4B52-A2FE-A6233F49169F}"/>
    <hyperlink ref="C41:E41" r:id="rId3" display="From Page 63 of SOP 50-10-8" xr:uid="{DAB1D11F-23EB-4FB2-AF33-4DF79911DD50}"/>
  </hyperlinks>
  <printOptions horizontalCentered="1"/>
  <pageMargins left="0.5" right="0.5" top="1" bottom="1" header="0.5" footer="0.5"/>
  <pageSetup scale="54" orientation="portrait" horizontalDpi="4294967292" verticalDpi="4294967292" r:id="rId4"/>
  <drawing r:id="rId5"/>
  <legacyDrawing r:id="rId6"/>
  <mc:AlternateContent xmlns:mc="http://schemas.openxmlformats.org/markup-compatibility/2006">
    <mc:Choice Requires="x14">
      <controls>
        <mc:AlternateContent xmlns:mc="http://schemas.openxmlformats.org/markup-compatibility/2006">
          <mc:Choice Requires="x14">
            <control shapeId="1025" r:id="rId7" name="Option Button 1">
              <controlPr defaultSize="0" autoFill="0" autoLine="0" autoPict="0">
                <anchor moveWithCells="1">
                  <from>
                    <xdr:col>5</xdr:col>
                    <xdr:colOff>114300</xdr:colOff>
                    <xdr:row>23</xdr:row>
                    <xdr:rowOff>76200</xdr:rowOff>
                  </from>
                  <to>
                    <xdr:col>5</xdr:col>
                    <xdr:colOff>704850</xdr:colOff>
                    <xdr:row>23</xdr:row>
                    <xdr:rowOff>171450</xdr:rowOff>
                  </to>
                </anchor>
              </controlPr>
            </control>
          </mc:Choice>
        </mc:AlternateContent>
        <mc:AlternateContent xmlns:mc="http://schemas.openxmlformats.org/markup-compatibility/2006">
          <mc:Choice Requires="x14">
            <control shapeId="1026" r:id="rId8" name="Option Button 2">
              <controlPr defaultSize="0" autoFill="0" autoLine="0" autoPict="0">
                <anchor moveWithCells="1">
                  <from>
                    <xdr:col>5</xdr:col>
                    <xdr:colOff>723900</xdr:colOff>
                    <xdr:row>23</xdr:row>
                    <xdr:rowOff>57150</xdr:rowOff>
                  </from>
                  <to>
                    <xdr:col>5</xdr:col>
                    <xdr:colOff>1143000</xdr:colOff>
                    <xdr:row>23</xdr:row>
                    <xdr:rowOff>209550</xdr:rowOff>
                  </to>
                </anchor>
              </controlPr>
            </control>
          </mc:Choice>
        </mc:AlternateContent>
        <mc:AlternateContent xmlns:mc="http://schemas.openxmlformats.org/markup-compatibility/2006">
          <mc:Choice Requires="x14">
            <control shapeId="1027" r:id="rId9" name="Option Button 3">
              <controlPr defaultSize="0" autoFill="0" autoLine="0" autoPict="0">
                <anchor moveWithCells="1">
                  <from>
                    <xdr:col>5</xdr:col>
                    <xdr:colOff>1133475</xdr:colOff>
                    <xdr:row>23</xdr:row>
                    <xdr:rowOff>57150</xdr:rowOff>
                  </from>
                  <to>
                    <xdr:col>6</xdr:col>
                    <xdr:colOff>0</xdr:colOff>
                    <xdr:row>23</xdr:row>
                    <xdr:rowOff>200025</xdr:rowOff>
                  </to>
                </anchor>
              </controlPr>
            </control>
          </mc:Choice>
        </mc:AlternateContent>
        <mc:AlternateContent xmlns:mc="http://schemas.openxmlformats.org/markup-compatibility/2006">
          <mc:Choice Requires="x14">
            <control shapeId="1028" r:id="rId10" name="Group Box 4">
              <controlPr defaultSize="0" autoFill="0" autoPict="0">
                <anchor moveWithCells="1">
                  <from>
                    <xdr:col>5</xdr:col>
                    <xdr:colOff>85725</xdr:colOff>
                    <xdr:row>23</xdr:row>
                    <xdr:rowOff>0</xdr:rowOff>
                  </from>
                  <to>
                    <xdr:col>6</xdr:col>
                    <xdr:colOff>0</xdr:colOff>
                    <xdr:row>24</xdr:row>
                    <xdr:rowOff>0</xdr:rowOff>
                  </to>
                </anchor>
              </controlPr>
            </control>
          </mc:Choice>
        </mc:AlternateContent>
        <mc:AlternateContent xmlns:mc="http://schemas.openxmlformats.org/markup-compatibility/2006">
          <mc:Choice Requires="x14">
            <control shapeId="1029" r:id="rId11" name="Option Button 5">
              <controlPr defaultSize="0" autoFill="0" autoLine="0" autoPict="0">
                <anchor moveWithCells="1">
                  <from>
                    <xdr:col>5</xdr:col>
                    <xdr:colOff>114300</xdr:colOff>
                    <xdr:row>22</xdr:row>
                    <xdr:rowOff>76200</xdr:rowOff>
                  </from>
                  <to>
                    <xdr:col>5</xdr:col>
                    <xdr:colOff>723900</xdr:colOff>
                    <xdr:row>22</xdr:row>
                    <xdr:rowOff>171450</xdr:rowOff>
                  </to>
                </anchor>
              </controlPr>
            </control>
          </mc:Choice>
        </mc:AlternateContent>
        <mc:AlternateContent xmlns:mc="http://schemas.openxmlformats.org/markup-compatibility/2006">
          <mc:Choice Requires="x14">
            <control shapeId="1030" r:id="rId12" name="Option Button 6">
              <controlPr defaultSize="0" autoFill="0" autoLine="0" autoPict="0">
                <anchor moveWithCells="1">
                  <from>
                    <xdr:col>5</xdr:col>
                    <xdr:colOff>723900</xdr:colOff>
                    <xdr:row>22</xdr:row>
                    <xdr:rowOff>47625</xdr:rowOff>
                  </from>
                  <to>
                    <xdr:col>5</xdr:col>
                    <xdr:colOff>1181100</xdr:colOff>
                    <xdr:row>22</xdr:row>
                    <xdr:rowOff>200025</xdr:rowOff>
                  </to>
                </anchor>
              </controlPr>
            </control>
          </mc:Choice>
        </mc:AlternateContent>
        <mc:AlternateContent xmlns:mc="http://schemas.openxmlformats.org/markup-compatibility/2006">
          <mc:Choice Requires="x14">
            <control shapeId="1031" r:id="rId13" name="Option Button 7">
              <controlPr defaultSize="0" autoFill="0" autoLine="0" autoPict="0">
                <anchor moveWithCells="1">
                  <from>
                    <xdr:col>5</xdr:col>
                    <xdr:colOff>1133475</xdr:colOff>
                    <xdr:row>22</xdr:row>
                    <xdr:rowOff>57150</xdr:rowOff>
                  </from>
                  <to>
                    <xdr:col>6</xdr:col>
                    <xdr:colOff>0</xdr:colOff>
                    <xdr:row>22</xdr:row>
                    <xdr:rowOff>200025</xdr:rowOff>
                  </to>
                </anchor>
              </controlPr>
            </control>
          </mc:Choice>
        </mc:AlternateContent>
        <mc:AlternateContent xmlns:mc="http://schemas.openxmlformats.org/markup-compatibility/2006">
          <mc:Choice Requires="x14">
            <control shapeId="1032" r:id="rId14" name="Group Box 8">
              <controlPr defaultSize="0" autoFill="0" autoPict="0">
                <anchor moveWithCells="1">
                  <from>
                    <xdr:col>5</xdr:col>
                    <xdr:colOff>85725</xdr:colOff>
                    <xdr:row>22</xdr:row>
                    <xdr:rowOff>0</xdr:rowOff>
                  </from>
                  <to>
                    <xdr:col>6</xdr:col>
                    <xdr:colOff>0</xdr:colOff>
                    <xdr:row>23</xdr:row>
                    <xdr:rowOff>0</xdr:rowOff>
                  </to>
                </anchor>
              </controlPr>
            </control>
          </mc:Choice>
        </mc:AlternateContent>
        <mc:AlternateContent xmlns:mc="http://schemas.openxmlformats.org/markup-compatibility/2006">
          <mc:Choice Requires="x14">
            <control shapeId="1033" r:id="rId15" name="Option Button 9">
              <controlPr defaultSize="0" autoFill="0" autoLine="0" autoPict="0">
                <anchor moveWithCells="1">
                  <from>
                    <xdr:col>5</xdr:col>
                    <xdr:colOff>114300</xdr:colOff>
                    <xdr:row>24</xdr:row>
                    <xdr:rowOff>76200</xdr:rowOff>
                  </from>
                  <to>
                    <xdr:col>5</xdr:col>
                    <xdr:colOff>704850</xdr:colOff>
                    <xdr:row>24</xdr:row>
                    <xdr:rowOff>171450</xdr:rowOff>
                  </to>
                </anchor>
              </controlPr>
            </control>
          </mc:Choice>
        </mc:AlternateContent>
        <mc:AlternateContent xmlns:mc="http://schemas.openxmlformats.org/markup-compatibility/2006">
          <mc:Choice Requires="x14">
            <control shapeId="1034" r:id="rId16" name="Option Button 10">
              <controlPr defaultSize="0" autoFill="0" autoLine="0" autoPict="0">
                <anchor moveWithCells="1">
                  <from>
                    <xdr:col>5</xdr:col>
                    <xdr:colOff>723900</xdr:colOff>
                    <xdr:row>24</xdr:row>
                    <xdr:rowOff>57150</xdr:rowOff>
                  </from>
                  <to>
                    <xdr:col>5</xdr:col>
                    <xdr:colOff>1152525</xdr:colOff>
                    <xdr:row>24</xdr:row>
                    <xdr:rowOff>209550</xdr:rowOff>
                  </to>
                </anchor>
              </controlPr>
            </control>
          </mc:Choice>
        </mc:AlternateContent>
        <mc:AlternateContent xmlns:mc="http://schemas.openxmlformats.org/markup-compatibility/2006">
          <mc:Choice Requires="x14">
            <control shapeId="1035" r:id="rId17" name="Option Button 11">
              <controlPr defaultSize="0" autoFill="0" autoLine="0" autoPict="0">
                <anchor moveWithCells="1">
                  <from>
                    <xdr:col>5</xdr:col>
                    <xdr:colOff>1133475</xdr:colOff>
                    <xdr:row>24</xdr:row>
                    <xdr:rowOff>57150</xdr:rowOff>
                  </from>
                  <to>
                    <xdr:col>6</xdr:col>
                    <xdr:colOff>0</xdr:colOff>
                    <xdr:row>24</xdr:row>
                    <xdr:rowOff>200025</xdr:rowOff>
                  </to>
                </anchor>
              </controlPr>
            </control>
          </mc:Choice>
        </mc:AlternateContent>
        <mc:AlternateContent xmlns:mc="http://schemas.openxmlformats.org/markup-compatibility/2006">
          <mc:Choice Requires="x14">
            <control shapeId="1036" r:id="rId18" name="Group Box 12">
              <controlPr defaultSize="0" autoFill="0" autoPict="0">
                <anchor moveWithCells="1">
                  <from>
                    <xdr:col>5</xdr:col>
                    <xdr:colOff>85725</xdr:colOff>
                    <xdr:row>24</xdr:row>
                    <xdr:rowOff>0</xdr:rowOff>
                  </from>
                  <to>
                    <xdr:col>6</xdr:col>
                    <xdr:colOff>0</xdr:colOff>
                    <xdr:row>25</xdr:row>
                    <xdr:rowOff>0</xdr:rowOff>
                  </to>
                </anchor>
              </controlPr>
            </control>
          </mc:Choice>
        </mc:AlternateContent>
        <mc:AlternateContent xmlns:mc="http://schemas.openxmlformats.org/markup-compatibility/2006">
          <mc:Choice Requires="x14">
            <control shapeId="1037" r:id="rId19" name="Option Button 13">
              <controlPr defaultSize="0" autoFill="0" autoLine="0" autoPict="0">
                <anchor moveWithCells="1">
                  <from>
                    <xdr:col>5</xdr:col>
                    <xdr:colOff>95250</xdr:colOff>
                    <xdr:row>13</xdr:row>
                    <xdr:rowOff>228600</xdr:rowOff>
                  </from>
                  <to>
                    <xdr:col>5</xdr:col>
                    <xdr:colOff>723900</xdr:colOff>
                    <xdr:row>15</xdr:row>
                    <xdr:rowOff>0</xdr:rowOff>
                  </to>
                </anchor>
              </controlPr>
            </control>
          </mc:Choice>
        </mc:AlternateContent>
        <mc:AlternateContent xmlns:mc="http://schemas.openxmlformats.org/markup-compatibility/2006">
          <mc:Choice Requires="x14">
            <control shapeId="1038" r:id="rId20" name="Option Button 14">
              <controlPr defaultSize="0" autoFill="0" autoLine="0" autoPict="0">
                <anchor moveWithCells="1">
                  <from>
                    <xdr:col>5</xdr:col>
                    <xdr:colOff>762000</xdr:colOff>
                    <xdr:row>13</xdr:row>
                    <xdr:rowOff>228600</xdr:rowOff>
                  </from>
                  <to>
                    <xdr:col>6</xdr:col>
                    <xdr:colOff>0</xdr:colOff>
                    <xdr:row>15</xdr:row>
                    <xdr:rowOff>0</xdr:rowOff>
                  </to>
                </anchor>
              </controlPr>
            </control>
          </mc:Choice>
        </mc:AlternateContent>
        <mc:AlternateContent xmlns:mc="http://schemas.openxmlformats.org/markup-compatibility/2006">
          <mc:Choice Requires="x14">
            <control shapeId="1040" r:id="rId21" name="Group Box 16">
              <controlPr defaultSize="0" autoFill="0" autoPict="0">
                <anchor moveWithCells="1">
                  <from>
                    <xdr:col>5</xdr:col>
                    <xdr:colOff>85725</xdr:colOff>
                    <xdr:row>14</xdr:row>
                    <xdr:rowOff>0</xdr:rowOff>
                  </from>
                  <to>
                    <xdr:col>6</xdr:col>
                    <xdr:colOff>0</xdr:colOff>
                    <xdr:row>15</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5</xdr:col>
                    <xdr:colOff>9525</xdr:colOff>
                    <xdr:row>6</xdr:row>
                    <xdr:rowOff>123825</xdr:rowOff>
                  </from>
                  <to>
                    <xdr:col>5</xdr:col>
                    <xdr:colOff>342900</xdr:colOff>
                    <xdr:row>7</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decimal" operator="lessThanOrEqual" allowBlank="1" showInputMessage="1" showErrorMessage="1" error="The total of all Express Loans approved within the last 90 days cannot exceed $500,000._x000a__x000a_Please reduce the Loan Amount to Not More than $500,000 or enter it as a Regular loan._x000a_" xr:uid="{42924D27-3392-408D-8ACC-119FD6B1EEEC}">
          <x14:formula1>
            <xm:f>500000-(Formulas!G13+Formulas!O21+Formulas!O22+Formulas!O23)</xm:f>
          </x14:formula1>
          <xm:sqref>G22</xm:sqref>
        </x14:dataValidation>
        <x14:dataValidation type="decimal" operator="lessThanOrEqual" allowBlank="1" showErrorMessage="1" errorTitle="7(a) Fee Calculator" error="The total of all Express Loans approved within the last 90 days cannot exceed $500,000._x000a__x000a_Please reduce the Loan Amount to Not More than $500,000 or enter it as a Regular loan._x000a_" xr:uid="{0804BABF-9A2D-4C2D-A748-86BF0EB579E3}">
          <x14:formula1>
            <xm:f>500000-(Formulas!G20+Formulas!O21+Formulas!O22+Formulas!O23)</xm:f>
          </x14:formula1>
          <xm:sqref>G15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31BFC-1A51-439D-ACEF-681C3B7712D7}">
  <sheetPr codeName="Sheet3">
    <pageSetUpPr fitToPage="1"/>
  </sheetPr>
  <dimension ref="B1:S55"/>
  <sheetViews>
    <sheetView showRowColHeaders="0" zoomScale="90" zoomScaleNormal="90" workbookViewId="0">
      <selection activeCell="P40" sqref="P40"/>
    </sheetView>
  </sheetViews>
  <sheetFormatPr defaultColWidth="12.28515625" defaultRowHeight="18.75" x14ac:dyDescent="0.25"/>
  <cols>
    <col min="1" max="2" width="2.85546875" style="5" customWidth="1"/>
    <col min="3" max="4" width="2.85546875" style="26" customWidth="1"/>
    <col min="5" max="5" width="35.140625" style="26" customWidth="1"/>
    <col min="6" max="6" width="24" style="26" customWidth="1"/>
    <col min="7" max="7" width="20.7109375" style="26" customWidth="1"/>
    <col min="8" max="8" width="16.28515625" style="26" customWidth="1"/>
    <col min="9" max="9" width="20.7109375" style="5" customWidth="1"/>
    <col min="10" max="10" width="16.28515625" style="5" customWidth="1"/>
    <col min="11" max="11" width="20.7109375" style="5" customWidth="1"/>
    <col min="12" max="13" width="2.85546875" style="5" customWidth="1"/>
    <col min="14" max="14" width="19" style="5" bestFit="1" customWidth="1"/>
    <col min="15" max="15" width="18.85546875" style="5" bestFit="1" customWidth="1"/>
    <col min="16" max="16" width="19.140625" style="5" bestFit="1" customWidth="1"/>
    <col min="17" max="17" width="16.140625" style="5" bestFit="1" customWidth="1"/>
    <col min="18" max="18" width="15.5703125" style="5" bestFit="1" customWidth="1"/>
    <col min="19" max="19" width="16.140625" style="5" bestFit="1" customWidth="1"/>
    <col min="20" max="16384" width="12.28515625" style="5"/>
  </cols>
  <sheetData>
    <row r="1" spans="2:16" ht="19.5" thickBot="1" x14ac:dyDescent="0.3"/>
    <row r="2" spans="2:16" ht="19.5" thickBot="1" x14ac:dyDescent="0.3">
      <c r="B2" s="1"/>
      <c r="C2" s="2"/>
      <c r="D2" s="2"/>
      <c r="E2" s="2"/>
      <c r="F2" s="2"/>
      <c r="G2" s="2"/>
      <c r="H2" s="2"/>
      <c r="I2" s="3"/>
      <c r="J2" s="3"/>
      <c r="K2" s="3"/>
      <c r="L2" s="4"/>
      <c r="N2" s="70"/>
      <c r="O2" s="70"/>
      <c r="P2" s="70"/>
    </row>
    <row r="3" spans="2:16" ht="20.100000000000001" customHeight="1" x14ac:dyDescent="0.25">
      <c r="B3" s="6"/>
      <c r="C3" s="162" t="s">
        <v>0</v>
      </c>
      <c r="D3" s="7"/>
      <c r="E3" s="7"/>
      <c r="F3" s="7"/>
      <c r="G3" s="8"/>
      <c r="H3" s="8"/>
      <c r="I3" s="8"/>
      <c r="J3" s="8"/>
      <c r="K3" s="9"/>
      <c r="L3" s="10"/>
      <c r="O3" s="70"/>
      <c r="P3" s="70"/>
    </row>
    <row r="4" spans="2:16" ht="20.100000000000001" customHeight="1" thickBot="1" x14ac:dyDescent="0.3">
      <c r="B4" s="6"/>
      <c r="C4" s="11" t="s">
        <v>53</v>
      </c>
      <c r="D4" s="12"/>
      <c r="E4" s="12"/>
      <c r="F4" s="12"/>
      <c r="G4" s="13"/>
      <c r="H4" s="13"/>
      <c r="I4" s="13"/>
      <c r="J4" s="13"/>
      <c r="K4" s="14"/>
      <c r="L4" s="10"/>
      <c r="O4" s="70"/>
      <c r="P4" s="70"/>
    </row>
    <row r="5" spans="2:16" ht="18.75" customHeight="1" thickBot="1" x14ac:dyDescent="0.3">
      <c r="B5" s="6"/>
      <c r="C5" s="15"/>
      <c r="D5" s="16"/>
      <c r="E5" s="16"/>
      <c r="F5" s="16"/>
      <c r="G5" s="17"/>
      <c r="H5" s="18"/>
      <c r="I5" s="18"/>
      <c r="J5" s="18"/>
      <c r="K5" s="18"/>
      <c r="L5" s="10"/>
      <c r="O5" s="70"/>
      <c r="P5" s="70"/>
    </row>
    <row r="6" spans="2:16" s="25" customFormat="1" ht="20.100000000000001" customHeight="1" thickBot="1" x14ac:dyDescent="0.3">
      <c r="B6" s="19"/>
      <c r="C6" s="20" t="s">
        <v>1</v>
      </c>
      <c r="D6" s="21"/>
      <c r="E6" s="21"/>
      <c r="F6" s="21"/>
      <c r="G6" s="22"/>
      <c r="H6" s="22"/>
      <c r="I6" s="22"/>
      <c r="J6" s="22"/>
      <c r="K6" s="23"/>
      <c r="L6" s="24"/>
      <c r="N6" s="288" cm="1">
        <f t="array" ref="N6">_xlfn.IFS(Tot_Ln_Amt&lt;1,0,Tot_Ln_Amt&lt;=150000,0.02,Tot_Ln_Amt&lt;=700000,0.03,Tot_Ln_Amt&lt;=1000000,0.035,Tot_Ln_Amt&gt;1000000,"3.50%; 3.75%")</f>
        <v>0</v>
      </c>
      <c r="O6" s="289" t="s">
        <v>95</v>
      </c>
      <c r="P6" s="163"/>
    </row>
    <row r="7" spans="2:16" ht="18.75" customHeight="1" thickBot="1" x14ac:dyDescent="0.3">
      <c r="B7" s="6"/>
      <c r="L7" s="10"/>
      <c r="N7" s="70"/>
      <c r="O7" s="163"/>
      <c r="P7" s="70"/>
    </row>
    <row r="8" spans="2:16" ht="18.75" customHeight="1" thickBot="1" x14ac:dyDescent="0.3">
      <c r="B8" s="6"/>
      <c r="C8" s="164" t="s">
        <v>2</v>
      </c>
      <c r="D8" s="27"/>
      <c r="E8" s="27"/>
      <c r="F8" s="27"/>
      <c r="G8" s="27"/>
      <c r="H8" s="27"/>
      <c r="I8" s="27"/>
      <c r="J8" s="27"/>
      <c r="K8" s="28"/>
      <c r="L8" s="10"/>
      <c r="N8" s="304" t="b">
        <v>0</v>
      </c>
      <c r="O8" s="70" t="s">
        <v>97</v>
      </c>
      <c r="P8" s="70"/>
    </row>
    <row r="9" spans="2:16" ht="18.75" customHeight="1" thickBot="1" x14ac:dyDescent="0.3">
      <c r="B9" s="6"/>
      <c r="C9" s="29" t="s">
        <v>3</v>
      </c>
      <c r="D9" s="30"/>
      <c r="E9" s="30"/>
      <c r="F9" s="31"/>
      <c r="G9" s="32" t="s">
        <v>4</v>
      </c>
      <c r="H9" s="32" t="s">
        <v>5</v>
      </c>
      <c r="I9" s="32" t="s">
        <v>6</v>
      </c>
      <c r="J9" s="32" t="s">
        <v>7</v>
      </c>
      <c r="K9" s="33" t="s">
        <v>8</v>
      </c>
      <c r="L9" s="10"/>
      <c r="N9" s="304">
        <f>IF(AND(Tot_Ln_Amt &lt; 950001,N8), 1,0)</f>
        <v>0</v>
      </c>
      <c r="O9" s="70" t="s">
        <v>96</v>
      </c>
      <c r="P9" s="70"/>
    </row>
    <row r="10" spans="2:16" ht="18.75" customHeight="1" thickBot="1" x14ac:dyDescent="0.3">
      <c r="B10" s="34">
        <v>1</v>
      </c>
      <c r="C10" s="35"/>
      <c r="D10" s="36"/>
      <c r="E10" s="36" t="s">
        <v>4</v>
      </c>
      <c r="F10" s="37"/>
      <c r="G10" s="165">
        <f>'Gty Fee'!G12</f>
        <v>0</v>
      </c>
      <c r="H10" s="166">
        <f>IF(G10=0,0,IF(G10+G24&lt;=150000,85%,IF((((G10+G24)*0.75)-I24)&lt;(0.75*G10),ROUNDDOWN((((G10+G24)*0.75-I24)/G10),4),75%)))</f>
        <v>0</v>
      </c>
      <c r="I10" s="167">
        <f>IF(G10=0,0,'Gty Fee'!G12*'Gty Fee'!H12)</f>
        <v>0</v>
      </c>
      <c r="J10" s="99">
        <f>IF(G10&gt;0,0.0025,0)</f>
        <v>0</v>
      </c>
      <c r="K10" s="168">
        <f>IF(N9=1,0,J10*I10)</f>
        <v>0</v>
      </c>
      <c r="L10" s="10"/>
      <c r="N10" s="70"/>
      <c r="O10" s="70"/>
      <c r="P10" s="70"/>
    </row>
    <row r="11" spans="2:16" ht="9" customHeight="1" thickBot="1" x14ac:dyDescent="0.3">
      <c r="B11" s="6"/>
      <c r="C11" s="1"/>
      <c r="D11" s="3"/>
      <c r="E11" s="3"/>
      <c r="F11" s="3"/>
      <c r="G11" s="169"/>
      <c r="H11" s="44"/>
      <c r="I11" s="169"/>
      <c r="J11" s="45"/>
      <c r="K11" s="170"/>
      <c r="L11" s="10"/>
      <c r="N11" s="171"/>
      <c r="O11" s="70"/>
      <c r="P11" s="70"/>
    </row>
    <row r="12" spans="2:16" s="26" customFormat="1" ht="18.75" customHeight="1" thickBot="1" x14ac:dyDescent="0.3">
      <c r="B12" s="6"/>
      <c r="C12" s="29" t="s">
        <v>9</v>
      </c>
      <c r="D12" s="30"/>
      <c r="E12" s="30"/>
      <c r="F12" s="31"/>
      <c r="G12" s="32" t="s">
        <v>4</v>
      </c>
      <c r="H12" s="32" t="s">
        <v>5</v>
      </c>
      <c r="I12" s="32" t="s">
        <v>6</v>
      </c>
      <c r="J12" s="32" t="s">
        <v>7</v>
      </c>
      <c r="K12" s="33" t="s">
        <v>8</v>
      </c>
      <c r="L12" s="47"/>
      <c r="M12" s="172"/>
      <c r="N12" s="173" t="s">
        <v>54</v>
      </c>
      <c r="O12" s="174"/>
      <c r="P12" s="175"/>
    </row>
    <row r="13" spans="2:16" ht="18.75" customHeight="1" x14ac:dyDescent="0.25">
      <c r="B13" s="34">
        <v>2</v>
      </c>
      <c r="C13" s="48"/>
      <c r="D13" s="36"/>
      <c r="E13" s="36" t="s">
        <v>10</v>
      </c>
      <c r="F13" s="37"/>
      <c r="G13" s="165">
        <f>'Gty Fee'!G15</f>
        <v>0</v>
      </c>
      <c r="H13" s="166">
        <f>'Gty Fee'!H15</f>
        <v>0.5</v>
      </c>
      <c r="I13" s="167">
        <f>G13*H13</f>
        <v>0</v>
      </c>
      <c r="J13" s="51">
        <f>IF(OR(G13=0,N13=1),0,J16)</f>
        <v>0</v>
      </c>
      <c r="K13" s="168">
        <f>IF(OR(G13=0,N13=1,N9=1),0,IF(G13=0,0,IF(Tot_Gty_Amt&lt;=1000000,Tot_Gty_Amt*J16,IF(I24&gt;1000000,Tot_Gty_Amt*0.0375,35000+(Tot_Gty_Amt-1000000)*0.0375-I24*0.035))))</f>
        <v>0</v>
      </c>
      <c r="L13" s="10"/>
      <c r="M13" s="176"/>
      <c r="N13" s="177">
        <v>2</v>
      </c>
      <c r="O13" s="178">
        <f>IF(N13=2,G13,0)</f>
        <v>0</v>
      </c>
      <c r="P13" s="179" t="s">
        <v>55</v>
      </c>
    </row>
    <row r="14" spans="2:16" s="26" customFormat="1" ht="18.75" customHeight="1" thickBot="1" x14ac:dyDescent="0.35">
      <c r="B14" s="34">
        <v>4</v>
      </c>
      <c r="C14" s="52"/>
      <c r="D14" s="53"/>
      <c r="E14" s="53" t="s">
        <v>11</v>
      </c>
      <c r="F14" s="54"/>
      <c r="G14" s="180">
        <f>'Gty Fee'!G16</f>
        <v>0</v>
      </c>
      <c r="H14" s="181">
        <f>IF(G14=0,0,IF(G14+G24&lt;=150000,85%,IF((((G14+G24)*0.75)-I24)&lt;(0.75*G14),ROUNDDOWN((((G14+G24)*0.75-I24)/G14),4),75%)))</f>
        <v>0</v>
      </c>
      <c r="I14" s="182">
        <f>'Gty Fee'!G16*'Gty Fee'!H16</f>
        <v>0</v>
      </c>
      <c r="J14" s="57">
        <f>IF(G14=0,0,J16)</f>
        <v>0</v>
      </c>
      <c r="K14" s="183" cm="1">
        <f t="array" ref="K14">IF(OR(G14=0,N9=1),0,IF(J15&gt;0,I14*J14,_xlfn.IFS(Tot_Ln_Amt&lt;=150000,Tot_Gty_Amt*0.02,Tot_Ln_Amt&lt;=700000,Tot_Gty_Amt*0.03,Tot_Ln_Amt&gt;700000,IF(Tot_Gty_Amt&lt;=1000000,Tot_Gty_Amt*0.035,35000+(Tot_Gty_Amt-1000000)*0.0375))))</f>
        <v>0</v>
      </c>
      <c r="L14" s="47"/>
      <c r="M14" s="172"/>
      <c r="N14" s="184" t="s">
        <v>56</v>
      </c>
      <c r="O14" s="175"/>
      <c r="P14" s="175"/>
    </row>
    <row r="15" spans="2:16" ht="18.75" customHeight="1" thickBot="1" x14ac:dyDescent="0.3">
      <c r="B15" s="34">
        <v>5</v>
      </c>
      <c r="C15" s="59"/>
      <c r="D15" s="60"/>
      <c r="E15" s="185" t="str">
        <f>IF(AND(J15&gt;0,J15&lt;13,G14&gt;1000000),"EWCP/WCP Loan &gt; 1MM, Term &lt;= 12 months",IF(AND(J15&gt;0,J15&lt;25,G14&gt;1000000),"EWCP/WCP Loan &gt; 1MM, Term 13 to 24 months",IF(AND(J15&gt;0,J15&lt;37,G14&gt;1000000),"EWCP/WCP Loan &gt; 1MM, Term 24 to 36 months",IF(AND(J15&gt;0,J15&lt;49,G14&gt;1000000),"WCP Loan &gt; 1MM, Term 36 to 49 months",IF(AND(J15&gt;0,J15&lt;61,G14&gt;1000000),"WCP Loan &gt; 1MM, Term 49 to 60 months",IF(I14+GI20+I24&gt;1000000,"3.50% of gty amt &lt;= $1M + 3.75% of gty amt &gt; $1M",""))))))</f>
        <v/>
      </c>
      <c r="F15" s="254"/>
      <c r="G15" s="255">
        <f>G10+G13+G14</f>
        <v>0</v>
      </c>
      <c r="H15" s="63" t="s">
        <v>12</v>
      </c>
      <c r="I15" s="186"/>
      <c r="J15" s="187">
        <f>'Gty Fee'!J17</f>
        <v>0</v>
      </c>
      <c r="K15" s="188"/>
      <c r="L15" s="10"/>
      <c r="M15" s="176"/>
    </row>
    <row r="16" spans="2:16" ht="24.95" customHeight="1" thickBot="1" x14ac:dyDescent="0.3">
      <c r="B16" s="6"/>
      <c r="C16" s="5"/>
      <c r="D16" s="5"/>
      <c r="E16" s="176" t="str" cm="1">
        <f t="array" ref="E16">_xlfn.IFS(AND(G10&gt;0,G10&lt;&gt;G15),N16,AND(G13&gt;0,G13&lt;&gt;G15),N16,AND(G14&gt;0,G14&lt;&gt;G15),N16,1,"")</f>
        <v/>
      </c>
      <c r="F16" s="5"/>
      <c r="G16" s="68"/>
      <c r="H16" s="69"/>
      <c r="I16" s="68">
        <f>I14</f>
        <v>0</v>
      </c>
      <c r="J16" s="189">
        <f>IF(AND(J15&gt;0,J15&lt;13),0.0025,IF(AND(J15&gt;0,J15&lt;25),0.00525,IF(AND(J15&gt;0,J15&lt;37),0.008,IF(AND(J15&gt;0,J15&lt;49),0.01075,IF(AND(J15&gt;0,J15&lt;61),0.0135,N6)))))</f>
        <v>0</v>
      </c>
      <c r="K16" s="68">
        <f>SUM(K13:K14)</f>
        <v>0</v>
      </c>
      <c r="L16" s="10"/>
      <c r="M16" s="176"/>
      <c r="N16" s="5" t="s">
        <v>94</v>
      </c>
    </row>
    <row r="17" spans="2:19" ht="18.75" customHeight="1" thickBot="1" x14ac:dyDescent="0.3">
      <c r="B17" s="6"/>
      <c r="C17" s="164" t="s">
        <v>13</v>
      </c>
      <c r="D17" s="27"/>
      <c r="E17" s="27"/>
      <c r="F17" s="27"/>
      <c r="G17" s="71"/>
      <c r="H17" s="72"/>
      <c r="I17" s="71"/>
      <c r="J17" s="72"/>
      <c r="K17" s="73"/>
      <c r="L17" s="10"/>
      <c r="M17" s="176"/>
    </row>
    <row r="18" spans="2:19" ht="18.75" customHeight="1" thickBot="1" x14ac:dyDescent="0.3">
      <c r="B18" s="6"/>
      <c r="C18" s="29" t="s">
        <v>57</v>
      </c>
      <c r="D18" s="30"/>
      <c r="E18" s="30"/>
      <c r="F18" s="30"/>
      <c r="G18" s="74" t="s">
        <v>15</v>
      </c>
      <c r="H18" s="75"/>
      <c r="I18" s="76"/>
      <c r="J18" s="77"/>
      <c r="K18" s="78"/>
      <c r="L18" s="10"/>
      <c r="M18" s="176"/>
    </row>
    <row r="19" spans="2:19" ht="18.75" customHeight="1" thickBot="1" x14ac:dyDescent="0.35">
      <c r="B19" s="6"/>
      <c r="C19" s="29"/>
      <c r="D19" s="30" t="s">
        <v>58</v>
      </c>
      <c r="E19" s="30"/>
      <c r="F19" s="31"/>
      <c r="G19" s="32" t="s">
        <v>4</v>
      </c>
      <c r="H19" s="32" t="s">
        <v>5</v>
      </c>
      <c r="I19" s="32" t="s">
        <v>6</v>
      </c>
      <c r="J19" s="32" t="s">
        <v>7</v>
      </c>
      <c r="K19" s="33" t="s">
        <v>17</v>
      </c>
      <c r="L19" s="10"/>
      <c r="M19" s="190"/>
      <c r="N19" s="184" t="s">
        <v>59</v>
      </c>
      <c r="O19" s="184"/>
      <c r="P19" s="184"/>
      <c r="Q19" s="191"/>
      <c r="R19" s="69"/>
      <c r="S19" s="176"/>
    </row>
    <row r="20" spans="2:19" ht="18.75" customHeight="1" thickBot="1" x14ac:dyDescent="0.35">
      <c r="B20" s="34">
        <v>6</v>
      </c>
      <c r="C20" s="79"/>
      <c r="D20" s="80"/>
      <c r="E20" s="81" t="s">
        <v>60</v>
      </c>
      <c r="F20" s="82"/>
      <c r="G20" s="192">
        <f>'Gty Fee'!G22</f>
        <v>0</v>
      </c>
      <c r="H20" s="193">
        <f>'Gty Fee'!H22</f>
        <v>0.5</v>
      </c>
      <c r="I20" s="194">
        <f>IF('Gty Fee'!G22=0,0,'Gty Fee'!G22*'Gty Fee'!H22)</f>
        <v>0</v>
      </c>
      <c r="J20" s="195">
        <v>0</v>
      </c>
      <c r="K20" s="196">
        <v>0</v>
      </c>
      <c r="L20" s="10"/>
      <c r="M20" s="190"/>
      <c r="N20" s="173" t="s">
        <v>61</v>
      </c>
      <c r="O20" s="174"/>
      <c r="P20" s="184"/>
      <c r="Q20" s="69"/>
      <c r="R20" s="69"/>
      <c r="S20" s="176"/>
    </row>
    <row r="21" spans="2:19" ht="18.75" customHeight="1" x14ac:dyDescent="0.3">
      <c r="B21" s="34">
        <v>7</v>
      </c>
      <c r="C21" s="79"/>
      <c r="D21" s="80"/>
      <c r="E21" s="81" t="s">
        <v>62</v>
      </c>
      <c r="F21" s="49"/>
      <c r="G21" s="197">
        <f>'Gty Fee'!G23</f>
        <v>0</v>
      </c>
      <c r="H21" s="198" t="str">
        <f>IF(G21=0,"",IF(N21=1,0.5,IF(N21=2,0.9,IF(G21&lt;=150000,0.85,0.75))))</f>
        <v/>
      </c>
      <c r="I21" s="199">
        <f>IF('Gty Fee'!G23=0,0,'Gty Fee'!G23*'Gty Fee'!H23)</f>
        <v>0</v>
      </c>
      <c r="J21" s="200">
        <f>IF(G21=0,0,J24)</f>
        <v>0</v>
      </c>
      <c r="K21" s="201">
        <f>IF(G21=0,0,'Gty Fee'!I23/'Gty Fee'!I26*O24)</f>
        <v>0</v>
      </c>
      <c r="L21" s="10"/>
      <c r="M21" s="190"/>
      <c r="N21" s="202">
        <v>3</v>
      </c>
      <c r="O21" s="203">
        <f>IF(N21=1,G21,0)</f>
        <v>0</v>
      </c>
      <c r="P21" s="184" t="s">
        <v>63</v>
      </c>
      <c r="Q21" s="69"/>
      <c r="R21" s="69"/>
      <c r="S21" s="176"/>
    </row>
    <row r="22" spans="2:19" s="101" customFormat="1" ht="18.75" customHeight="1" x14ac:dyDescent="0.3">
      <c r="B22" s="34">
        <v>8</v>
      </c>
      <c r="C22" s="93"/>
      <c r="D22" s="94"/>
      <c r="E22" s="129" t="s">
        <v>64</v>
      </c>
      <c r="F22" s="96"/>
      <c r="G22" s="197">
        <f>'Gty Fee'!G24</f>
        <v>0</v>
      </c>
      <c r="H22" s="198" t="str">
        <f>IF(G22=0,"",IF(N22=1,0.5,IF(N22=2,0.9,IF(G22&lt;=150000,0.85,0.75))))</f>
        <v/>
      </c>
      <c r="I22" s="204">
        <f>IF('Gty Fee'!G24=0,0,'Gty Fee'!G24*'Gty Fee'!H24)</f>
        <v>0</v>
      </c>
      <c r="J22" s="57">
        <f>IF(G22=0,0,J24)</f>
        <v>0</v>
      </c>
      <c r="K22" s="201">
        <f>IF(G22=0,0,'Gty Fee'!I24/'Gty Fee'!I26*O24)</f>
        <v>0</v>
      </c>
      <c r="L22" s="100"/>
      <c r="M22" s="190"/>
      <c r="N22" s="205">
        <v>3</v>
      </c>
      <c r="O22" s="203">
        <f>IF(N22=1,G22,0)</f>
        <v>0</v>
      </c>
      <c r="P22" s="184" t="s">
        <v>63</v>
      </c>
      <c r="Q22" s="206"/>
      <c r="R22" s="206"/>
      <c r="S22" s="190"/>
    </row>
    <row r="23" spans="2:19" s="101" customFormat="1" ht="18.75" customHeight="1" thickBot="1" x14ac:dyDescent="0.35">
      <c r="B23" s="34">
        <v>9</v>
      </c>
      <c r="C23" s="102"/>
      <c r="D23" s="103"/>
      <c r="E23" s="132" t="s">
        <v>64</v>
      </c>
      <c r="F23" s="105"/>
      <c r="G23" s="197">
        <f>'Gty Fee'!G25</f>
        <v>0</v>
      </c>
      <c r="H23" s="198" t="str">
        <f>IF(G23=0,"",IF(N23=1,0.5,IF(N23=2,0.9,IF(G23&lt;=150000,0.85,0.75))))</f>
        <v/>
      </c>
      <c r="I23" s="207">
        <f>IF('Gty Fee'!G25=0,0,'Gty Fee'!G25*'Gty Fee'!H25)</f>
        <v>0</v>
      </c>
      <c r="J23" s="57">
        <f>IF(G23=0,0,J24)</f>
        <v>0</v>
      </c>
      <c r="K23" s="201">
        <f>IF(G23=0,0,'Gty Fee'!I25/'Gty Fee'!I26*O24)</f>
        <v>0</v>
      </c>
      <c r="L23" s="100"/>
      <c r="M23" s="190"/>
      <c r="N23" s="258">
        <v>3</v>
      </c>
      <c r="O23" s="208">
        <f>IF(N23=1,G23,0)</f>
        <v>0</v>
      </c>
      <c r="P23" s="184" t="s">
        <v>63</v>
      </c>
      <c r="Q23" s="206"/>
      <c r="R23" s="206"/>
      <c r="S23" s="190"/>
    </row>
    <row r="24" spans="2:19" s="101" customFormat="1" ht="18.75" customHeight="1" thickBot="1" x14ac:dyDescent="0.35">
      <c r="B24" s="110"/>
      <c r="C24" s="111" t="s">
        <v>21</v>
      </c>
      <c r="D24" s="112"/>
      <c r="E24" s="113"/>
      <c r="F24" s="114"/>
      <c r="G24" s="194">
        <f>SUM(G21:G23)</f>
        <v>0</v>
      </c>
      <c r="H24" s="116"/>
      <c r="I24" s="194">
        <f>SUM('Gty Fee'!I23:'Gty Fee'!I25)</f>
        <v>0</v>
      </c>
      <c r="J24" s="287" cm="1">
        <f t="array" ref="J24">_xlfn.IFS(G24=0,0,G24&lt;=150000,0.02,G24&lt;=700000,0.03,G24&gt;700000,IF(I24&lt;=1000000,0.035,"3.50%; 3.75%"))</f>
        <v>0</v>
      </c>
      <c r="K24" s="209">
        <f>IF(AND(G20&gt;0,G24&gt;0),'Gty Fee'!K22+SUM('Gty Fee'!K23:'Gty Fee'!K25),SUM('Gty Fee'!K23:'Gty Fee'!K25))</f>
        <v>0</v>
      </c>
      <c r="L24" s="100"/>
      <c r="M24" s="190"/>
      <c r="N24" s="257" cm="1">
        <f t="array" ref="N24">_xlfn.IFS(G24&lt;=150000,I24*0.02,G24&lt;=700000,I24*0.03,G24&gt;700000,IF(I24&lt;=1000000,I24*0.035,35000+(I24-1000000)*0.0375))</f>
        <v>0</v>
      </c>
      <c r="O24" s="259" cm="1">
        <f t="array" ref="O24">_xlfn.IFS(G24&lt;=150000,I24*0.02,G24&lt;=700000,I24*0.03,G24&gt;700000,IF(I14+I24&lt;=1000000,I24*0.035,IF(I24&gt;1000000,35000+(I24-1000000)*0.0375,I24*0.035)))</f>
        <v>0</v>
      </c>
      <c r="P24" s="184"/>
      <c r="Q24" s="206"/>
      <c r="R24" s="206"/>
      <c r="S24" s="190"/>
    </row>
    <row r="25" spans="2:19" ht="9" customHeight="1" thickBot="1" x14ac:dyDescent="0.35">
      <c r="B25" s="6"/>
      <c r="C25" s="6"/>
      <c r="D25" s="120"/>
      <c r="E25" s="120"/>
      <c r="F25" s="120"/>
      <c r="G25" s="5"/>
      <c r="H25" s="5"/>
      <c r="I25" s="210"/>
      <c r="L25" s="10"/>
      <c r="M25" s="190"/>
      <c r="N25" s="211"/>
      <c r="O25" s="184"/>
      <c r="P25" s="184"/>
      <c r="Q25" s="69"/>
      <c r="R25" s="69"/>
      <c r="S25" s="176"/>
    </row>
    <row r="26" spans="2:19" s="101" customFormat="1" ht="18.75" customHeight="1" thickBot="1" x14ac:dyDescent="0.35">
      <c r="B26" s="110"/>
      <c r="C26" s="121" t="s">
        <v>22</v>
      </c>
      <c r="D26" s="122" t="s">
        <v>65</v>
      </c>
      <c r="E26" s="122"/>
      <c r="F26" s="123"/>
      <c r="G26" s="32" t="s">
        <v>24</v>
      </c>
      <c r="H26" s="32" t="s">
        <v>5</v>
      </c>
      <c r="I26" s="33" t="s">
        <v>6</v>
      </c>
      <c r="J26" s="17"/>
      <c r="K26" s="212"/>
      <c r="L26" s="100"/>
      <c r="M26" s="190"/>
      <c r="N26" s="213">
        <f>IF(N24&gt;0,N24,0)</f>
        <v>0</v>
      </c>
      <c r="O26" s="214" t="s">
        <v>66</v>
      </c>
      <c r="P26" s="184"/>
      <c r="Q26" s="206"/>
      <c r="R26" s="206"/>
      <c r="S26" s="190"/>
    </row>
    <row r="27" spans="2:19" ht="18.75" customHeight="1" x14ac:dyDescent="0.25">
      <c r="B27" s="34">
        <v>10</v>
      </c>
      <c r="C27" s="79"/>
      <c r="D27" s="80"/>
      <c r="E27" s="80" t="s">
        <v>67</v>
      </c>
      <c r="F27" s="126"/>
      <c r="G27" s="197">
        <f>'Gty Fee'!G29</f>
        <v>0</v>
      </c>
      <c r="H27" s="198">
        <f>'Gty Fee'!H29</f>
        <v>0.75</v>
      </c>
      <c r="I27" s="215">
        <f>IF('Gty Fee'!G29=0,0,'Gty Fee'!G29*'Gty Fee'!H29)</f>
        <v>0</v>
      </c>
      <c r="J27" s="124"/>
      <c r="K27" s="212"/>
      <c r="L27" s="10"/>
      <c r="M27" s="176"/>
      <c r="N27" s="70"/>
      <c r="O27" s="171"/>
      <c r="P27" s="171"/>
      <c r="Q27" s="69"/>
      <c r="R27" s="69"/>
      <c r="S27" s="176"/>
    </row>
    <row r="28" spans="2:19" s="101" customFormat="1" ht="18.75" customHeight="1" x14ac:dyDescent="0.3">
      <c r="B28" s="34">
        <v>11</v>
      </c>
      <c r="C28" s="93"/>
      <c r="D28" s="94"/>
      <c r="E28" s="94" t="s">
        <v>68</v>
      </c>
      <c r="F28" s="130"/>
      <c r="G28" s="216">
        <f>'Gty Fee'!G30</f>
        <v>0</v>
      </c>
      <c r="H28" s="217">
        <f>'Gty Fee'!H30</f>
        <v>0.75</v>
      </c>
      <c r="I28" s="218">
        <f>IF('Gty Fee'!G30=0,0,'Gty Fee'!G30*'Gty Fee'!H30)</f>
        <v>0</v>
      </c>
      <c r="J28" s="124"/>
      <c r="K28" s="212"/>
      <c r="L28" s="100"/>
      <c r="M28" s="190"/>
      <c r="N28" s="219" t="s">
        <v>69</v>
      </c>
      <c r="O28" s="220">
        <f>G13+G14+G24</f>
        <v>0</v>
      </c>
      <c r="P28" s="70" t="s">
        <v>70</v>
      </c>
      <c r="S28" s="5" t="s">
        <v>71</v>
      </c>
    </row>
    <row r="29" spans="2:19" s="101" customFormat="1" ht="18.75" customHeight="1" thickBot="1" x14ac:dyDescent="0.35">
      <c r="B29" s="34">
        <v>12</v>
      </c>
      <c r="C29" s="102"/>
      <c r="D29" s="103"/>
      <c r="E29" s="103" t="s">
        <v>72</v>
      </c>
      <c r="F29" s="133"/>
      <c r="G29" s="221">
        <f>'Gty Fee'!G31</f>
        <v>0</v>
      </c>
      <c r="H29" s="222">
        <f>'Gty Fee'!H31</f>
        <v>0.75</v>
      </c>
      <c r="I29" s="223">
        <f>IF('Gty Fee'!G31=0,0,'Gty Fee'!G31*'Gty Fee'!H31)</f>
        <v>0</v>
      </c>
      <c r="J29" s="124"/>
      <c r="K29" s="212"/>
      <c r="L29" s="100"/>
      <c r="M29" s="190"/>
      <c r="N29" s="151" t="s">
        <v>73</v>
      </c>
      <c r="O29" s="171">
        <f>I13+I14+I24</f>
        <v>0</v>
      </c>
      <c r="P29" s="101" t="s">
        <v>74</v>
      </c>
      <c r="S29" s="5" t="s">
        <v>71</v>
      </c>
    </row>
    <row r="30" spans="2:19" ht="30.75" customHeight="1" thickBot="1" x14ac:dyDescent="0.3">
      <c r="B30" s="6"/>
      <c r="C30" s="25" t="s">
        <v>28</v>
      </c>
      <c r="D30" s="120"/>
      <c r="E30" s="120"/>
      <c r="F30" s="120"/>
      <c r="G30" s="5"/>
      <c r="H30" s="5"/>
      <c r="L30" s="10"/>
      <c r="M30" s="176"/>
      <c r="N30" s="224"/>
      <c r="O30" s="225" cm="1">
        <f t="array" ref="O30">IF(AND(J15&gt;0,J15&lt;13,G14&gt;1000000),0.0025,IF(AND(J15&gt;0,J15&lt;25,G14&gt;1000000),0.00525,IF(AND(J15&gt;0,J15&lt;37,G14&gt;1000000),0.008,IF(AND(J15&gt;0,J15&lt;49,G14&gt;1000000),0.01075,IF(AND(J15&gt;0,J15&lt;61,G14&gt;1000000),0.0135,_xlfn.IFS(Tot_Ln_Amt&lt;=1000000,0,Tot_Ln_Amt&lt;=2000000,IF(Tot_Gty_Amt&lt;=1000000,0.0145,"1.45%;1.70%"),Tot_Ln_Amt&gt;2000000,IF(Tot_Gty_Amt&lt;=1000000,0.035,"3.50%; 3.75%")))))))</f>
        <v>0</v>
      </c>
      <c r="P30" s="5" t="s">
        <v>75</v>
      </c>
      <c r="Q30" s="70"/>
      <c r="R30" s="219"/>
      <c r="S30" s="176"/>
    </row>
    <row r="31" spans="2:19" ht="18.75" customHeight="1" thickBot="1" x14ac:dyDescent="0.3">
      <c r="B31" s="6"/>
      <c r="C31" s="5"/>
      <c r="D31" s="120"/>
      <c r="E31" s="120"/>
      <c r="F31" s="120"/>
      <c r="G31" s="5"/>
      <c r="H31" s="5"/>
      <c r="K31" s="135" t="s">
        <v>29</v>
      </c>
      <c r="L31" s="10"/>
      <c r="M31" s="176"/>
      <c r="N31" s="226"/>
      <c r="O31" s="227"/>
      <c r="Q31" s="70"/>
      <c r="S31" s="176"/>
    </row>
    <row r="32" spans="2:19" ht="18.75" customHeight="1" thickBot="1" x14ac:dyDescent="0.3">
      <c r="B32" s="34"/>
      <c r="C32" s="228" t="s">
        <v>22</v>
      </c>
      <c r="D32" s="229" t="s">
        <v>30</v>
      </c>
      <c r="E32" s="136"/>
      <c r="F32" s="230" t="s">
        <v>6</v>
      </c>
      <c r="G32" s="5"/>
      <c r="H32" s="137"/>
      <c r="I32" s="138"/>
      <c r="J32" s="231" t="s">
        <v>76</v>
      </c>
      <c r="K32" s="232">
        <f>IF(J15&gt;0,0,IF(K10&gt;0,K10,K16))</f>
        <v>0</v>
      </c>
      <c r="L32" s="10"/>
      <c r="M32" s="191"/>
      <c r="N32" s="70"/>
      <c r="O32" s="224"/>
      <c r="P32" s="233"/>
      <c r="Q32" s="70"/>
      <c r="R32" s="69"/>
      <c r="S32" s="176"/>
    </row>
    <row r="33" spans="2:14" ht="18.75" customHeight="1" thickBot="1" x14ac:dyDescent="0.3">
      <c r="B33" s="34">
        <v>13</v>
      </c>
      <c r="C33" s="79"/>
      <c r="D33" s="80"/>
      <c r="E33" s="141" t="s">
        <v>32</v>
      </c>
      <c r="F33" s="234">
        <f>'Gty Fee'!F35</f>
        <v>0</v>
      </c>
      <c r="G33" s="5"/>
      <c r="H33" s="137"/>
      <c r="I33" s="138"/>
      <c r="J33" s="231" t="s">
        <v>33</v>
      </c>
      <c r="K33" s="235">
        <f>IF(I20+I24&gt;0,K34-K32,0)</f>
        <v>0</v>
      </c>
      <c r="L33" s="10"/>
    </row>
    <row r="34" spans="2:14" ht="18.75" customHeight="1" thickBot="1" x14ac:dyDescent="0.3">
      <c r="B34" s="34">
        <v>14</v>
      </c>
      <c r="C34" s="102"/>
      <c r="D34" s="103"/>
      <c r="E34" s="133" t="s">
        <v>34</v>
      </c>
      <c r="F34" s="236">
        <f>'Gty Fee'!F36</f>
        <v>0</v>
      </c>
      <c r="G34" s="5"/>
      <c r="H34" s="145"/>
      <c r="I34" s="146"/>
      <c r="J34" s="237" t="s">
        <v>35</v>
      </c>
      <c r="K34" s="238" cm="1">
        <f t="array" ref="K34">IF(N13=1,0,IF(J15&gt;0,0,IF(G10&gt;500000,K10,IF(AND(O13=0,G20=0),_xlfn.IFS(Tot_Ln_Amt&lt;=150000,Tot_Gty_Amt*0.02,Tot_Ln_Amt&lt;=700000,Tot_Gty_Amt*0.03,Tot_Gty_Amt&lt;1000000,Tot_Gty_Amt*0.035,Tot_Gty_Amt&gt;1000000,35000+(Tot_Gty_Amt-1000000)*0.0375)-K24,IF(OR(G14&gt;0,G24&gt;0),_xlfn.IFS(O13+G14+G24&lt;=150000,Tot_Gty_Amt*0.02,O13+G14+G24&lt;=700000,Tot_Gty_Amt*0.03,Tot_Gty_Amt&lt;=1000000,Tot_Gty_Amt*0.035,Tot_Gty_Amt&gt;1000000,35000+(Tot_Gty_Amt-1000000)*0.0375)-K24,K10)))))</f>
        <v>0</v>
      </c>
      <c r="L34" s="10"/>
    </row>
    <row r="35" spans="2:14" ht="12" customHeight="1" thickBot="1" x14ac:dyDescent="0.3">
      <c r="B35" s="6"/>
      <c r="C35" s="5"/>
      <c r="D35" s="5"/>
      <c r="E35" s="5"/>
      <c r="F35" s="5"/>
      <c r="G35" s="5"/>
      <c r="H35" s="5"/>
      <c r="L35" s="10"/>
    </row>
    <row r="36" spans="2:14" s="25" customFormat="1" ht="22.5" customHeight="1" thickBot="1" x14ac:dyDescent="0.3">
      <c r="B36" s="239">
        <v>15</v>
      </c>
      <c r="C36" s="240" t="str">
        <f>IF(G10+G14+G24&gt;5000000,"The total amount of all loans made within the last 90 days cannot exceed $5M.",IF(I10+I14+I24+SUM(I27:I29)+F33+F34&gt;3750000,"Total gty amount of all approved loans (including 504) cannot exceed $3.75M.",""))</f>
        <v/>
      </c>
      <c r="D36" s="149"/>
      <c r="H36" s="137"/>
      <c r="I36" s="138"/>
      <c r="J36" s="150" t="s">
        <v>36</v>
      </c>
      <c r="K36" s="232">
        <f>IF(J15=0,G10+G13+G14-K34,G14-K16)</f>
        <v>0</v>
      </c>
      <c r="L36" s="24"/>
    </row>
    <row r="37" spans="2:14" s="101" customFormat="1" ht="30.75" customHeight="1" thickBot="1" x14ac:dyDescent="0.35">
      <c r="B37" s="110"/>
      <c r="D37" s="151" t="s">
        <v>37</v>
      </c>
      <c r="E37" s="101" t="s">
        <v>38</v>
      </c>
      <c r="L37" s="100"/>
    </row>
    <row r="38" spans="2:14" ht="18.600000000000001" customHeight="1" thickBot="1" x14ac:dyDescent="0.3">
      <c r="B38" s="6"/>
      <c r="C38" s="5"/>
      <c r="E38" s="5" t="s">
        <v>39</v>
      </c>
      <c r="F38" s="5"/>
      <c r="G38" s="5"/>
      <c r="H38" s="5"/>
      <c r="J38" s="152" t="s">
        <v>40</v>
      </c>
      <c r="K38" s="241">
        <f>K24+K34</f>
        <v>0</v>
      </c>
      <c r="L38" s="10"/>
      <c r="N38" s="227"/>
    </row>
    <row r="39" spans="2:14" ht="18.75" customHeight="1" thickBot="1" x14ac:dyDescent="0.3">
      <c r="B39" s="153"/>
      <c r="C39" s="154"/>
      <c r="D39" s="155"/>
      <c r="E39" s="154"/>
      <c r="F39" s="154"/>
      <c r="G39" s="154"/>
      <c r="H39" s="154"/>
      <c r="I39" s="154"/>
      <c r="J39" s="242"/>
      <c r="K39" s="242"/>
      <c r="L39" s="156"/>
    </row>
    <row r="40" spans="2:14" s="25" customFormat="1" ht="28.5" customHeight="1" x14ac:dyDescent="0.25">
      <c r="B40" s="19"/>
      <c r="C40" s="243"/>
      <c r="L40" s="24"/>
    </row>
    <row r="41" spans="2:14" ht="22.5" customHeight="1" x14ac:dyDescent="0.25">
      <c r="B41" s="6"/>
      <c r="C41" s="5"/>
      <c r="D41" s="5"/>
      <c r="E41" s="5"/>
      <c r="F41" s="5"/>
      <c r="G41" s="5"/>
      <c r="H41" s="5"/>
      <c r="L41" s="10"/>
    </row>
    <row r="42" spans="2:14" ht="62.25" customHeight="1" x14ac:dyDescent="0.25">
      <c r="B42" s="6"/>
      <c r="C42" s="5"/>
      <c r="D42" s="5"/>
      <c r="E42" s="307"/>
      <c r="F42" s="307"/>
      <c r="G42" s="310"/>
      <c r="H42" s="310"/>
      <c r="I42" s="310"/>
      <c r="J42" s="310"/>
      <c r="K42" s="310"/>
      <c r="L42" s="10"/>
    </row>
    <row r="43" spans="2:14" ht="83.25" customHeight="1" x14ac:dyDescent="0.25">
      <c r="B43" s="6"/>
      <c r="C43" s="5"/>
      <c r="D43" s="5"/>
      <c r="E43" s="307"/>
      <c r="F43" s="307"/>
      <c r="G43" s="310"/>
      <c r="H43" s="310"/>
      <c r="I43" s="310"/>
      <c r="J43" s="310"/>
      <c r="K43" s="310"/>
      <c r="L43" s="10"/>
    </row>
    <row r="44" spans="2:14" ht="42" customHeight="1" x14ac:dyDescent="0.25">
      <c r="B44" s="6"/>
      <c r="C44" s="5"/>
      <c r="D44" s="5"/>
      <c r="E44" s="307"/>
      <c r="F44" s="307"/>
      <c r="G44" s="310"/>
      <c r="H44" s="310"/>
      <c r="I44" s="310"/>
      <c r="J44" s="310"/>
      <c r="K44" s="310"/>
      <c r="L44" s="10"/>
    </row>
    <row r="45" spans="2:14" ht="60" customHeight="1" x14ac:dyDescent="0.25">
      <c r="B45" s="6"/>
      <c r="C45" s="5"/>
      <c r="D45" s="5"/>
      <c r="E45" s="307"/>
      <c r="F45" s="307"/>
      <c r="G45" s="310"/>
      <c r="H45" s="310"/>
      <c r="I45" s="310"/>
      <c r="J45" s="310"/>
      <c r="K45" s="310"/>
      <c r="L45" s="10"/>
    </row>
    <row r="46" spans="2:14" ht="52.5" customHeight="1" x14ac:dyDescent="0.25">
      <c r="B46" s="6"/>
      <c r="C46" s="5"/>
      <c r="D46" s="5"/>
      <c r="E46" s="307"/>
      <c r="F46" s="307"/>
      <c r="G46" s="310"/>
      <c r="H46" s="310"/>
      <c r="I46" s="310"/>
      <c r="J46" s="310"/>
      <c r="K46" s="310"/>
      <c r="L46" s="10"/>
    </row>
    <row r="47" spans="2:14" ht="18.75" customHeight="1" x14ac:dyDescent="0.25">
      <c r="B47" s="6"/>
      <c r="C47" s="120"/>
      <c r="D47" s="5"/>
      <c r="G47" s="157"/>
      <c r="H47" s="157"/>
      <c r="I47" s="157"/>
      <c r="J47" s="157"/>
      <c r="K47" s="157"/>
      <c r="L47" s="10"/>
    </row>
    <row r="48" spans="2:14" ht="33.75" customHeight="1" x14ac:dyDescent="0.25">
      <c r="B48" s="6"/>
      <c r="C48" s="5"/>
      <c r="D48" s="5"/>
      <c r="E48" s="244"/>
      <c r="G48" s="157"/>
      <c r="H48" s="157"/>
      <c r="I48" s="157"/>
      <c r="J48" s="157"/>
      <c r="K48" s="157"/>
      <c r="L48" s="10"/>
    </row>
    <row r="49" spans="2:12" ht="18.75" customHeight="1" thickBot="1" x14ac:dyDescent="0.3">
      <c r="B49" s="158" t="s">
        <v>52</v>
      </c>
      <c r="C49" s="154"/>
      <c r="D49" s="154"/>
      <c r="E49" s="154"/>
      <c r="F49" s="159" t="s">
        <v>77</v>
      </c>
      <c r="G49" s="160"/>
      <c r="H49" s="154"/>
      <c r="I49" s="154"/>
      <c r="J49" s="154"/>
      <c r="K49" s="154"/>
      <c r="L49" s="161" t="s">
        <v>103</v>
      </c>
    </row>
    <row r="52" spans="2:12" x14ac:dyDescent="0.25">
      <c r="H52" s="5"/>
    </row>
    <row r="53" spans="2:12" x14ac:dyDescent="0.25">
      <c r="H53" s="5"/>
    </row>
    <row r="54" spans="2:12" x14ac:dyDescent="0.25">
      <c r="H54" s="5"/>
    </row>
    <row r="55" spans="2:12" x14ac:dyDescent="0.25">
      <c r="H55" s="5"/>
    </row>
  </sheetData>
  <mergeCells count="5">
    <mergeCell ref="E42:K42"/>
    <mergeCell ref="E43:K43"/>
    <mergeCell ref="E44:K44"/>
    <mergeCell ref="E45:K45"/>
    <mergeCell ref="E46:K46"/>
  </mergeCells>
  <dataValidations count="2">
    <dataValidation allowBlank="1" showErrorMessage="1" sqref="H15" xr:uid="{FC82DBF1-3749-4887-B276-89644C784114}"/>
    <dataValidation allowBlank="1" showInputMessage="1" showErrorMessage="1" prompt="This is a calculated value. If you enter anything here, the Guaranty Fee will no longer be calculated for the loan on this row." sqref="K36" xr:uid="{9F07B1D7-3F39-45C4-ADF9-328C41AE4BD6}"/>
  </dataValidations>
  <printOptions horizontalCentered="1"/>
  <pageMargins left="0.5" right="0.5" top="1" bottom="1" header="0.5" footer="0.5"/>
  <pageSetup scale="51"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4F57B-9E15-4CD4-9A13-495AC8166564}">
  <sheetPr codeName="Sheet14">
    <pageSetUpPr fitToPage="1"/>
  </sheetPr>
  <dimension ref="B1:B17"/>
  <sheetViews>
    <sheetView showGridLines="0" showRowColHeaders="0" topLeftCell="B7" zoomScale="125" zoomScaleNormal="125" workbookViewId="0">
      <selection activeCell="B16" sqref="B16"/>
    </sheetView>
  </sheetViews>
  <sheetFormatPr defaultColWidth="10" defaultRowHeight="15.75" x14ac:dyDescent="0.25"/>
  <cols>
    <col min="1" max="1" width="1.85546875" style="253" customWidth="1"/>
    <col min="2" max="2" width="129.7109375" style="253" customWidth="1"/>
    <col min="3" max="16384" width="10" style="253"/>
  </cols>
  <sheetData>
    <row r="1" spans="2:2" s="246" customFormat="1" ht="21.6" customHeight="1" thickBot="1" x14ac:dyDescent="0.3">
      <c r="B1" s="245" t="s">
        <v>92</v>
      </c>
    </row>
    <row r="2" spans="2:2" s="246" customFormat="1" ht="41.45" customHeight="1" x14ac:dyDescent="0.25">
      <c r="B2" s="247" t="s">
        <v>78</v>
      </c>
    </row>
    <row r="3" spans="2:2" s="246" customFormat="1" ht="41.45" customHeight="1" x14ac:dyDescent="0.25">
      <c r="B3" s="248" t="s">
        <v>79</v>
      </c>
    </row>
    <row r="4" spans="2:2" s="246" customFormat="1" ht="41.45" customHeight="1" x14ac:dyDescent="0.25">
      <c r="B4" s="248" t="s">
        <v>80</v>
      </c>
    </row>
    <row r="5" spans="2:2" s="246" customFormat="1" ht="41.45" customHeight="1" x14ac:dyDescent="0.25">
      <c r="B5" s="248" t="s">
        <v>81</v>
      </c>
    </row>
    <row r="6" spans="2:2" s="246" customFormat="1" ht="135.94999999999999" customHeight="1" x14ac:dyDescent="0.25">
      <c r="B6" s="249" t="s">
        <v>82</v>
      </c>
    </row>
    <row r="7" spans="2:2" s="246" customFormat="1" ht="195.6" customHeight="1" x14ac:dyDescent="0.25">
      <c r="B7" s="250" t="s">
        <v>83</v>
      </c>
    </row>
    <row r="8" spans="2:2" s="246" customFormat="1" ht="25.7" customHeight="1" x14ac:dyDescent="0.25">
      <c r="B8" s="251" t="s">
        <v>84</v>
      </c>
    </row>
    <row r="9" spans="2:2" s="246" customFormat="1" ht="25.7" customHeight="1" x14ac:dyDescent="0.25">
      <c r="B9" s="251" t="s">
        <v>85</v>
      </c>
    </row>
    <row r="10" spans="2:2" s="246" customFormat="1" ht="52.35" customHeight="1" x14ac:dyDescent="0.25">
      <c r="B10" s="250" t="s">
        <v>86</v>
      </c>
    </row>
    <row r="11" spans="2:2" s="246" customFormat="1" ht="68.099999999999994" customHeight="1" x14ac:dyDescent="0.25">
      <c r="B11" s="250" t="s">
        <v>87</v>
      </c>
    </row>
    <row r="12" spans="2:2" s="246" customFormat="1" ht="25.7" customHeight="1" x14ac:dyDescent="0.25">
      <c r="B12" s="251" t="s">
        <v>88</v>
      </c>
    </row>
    <row r="13" spans="2:2" s="246" customFormat="1" ht="25.7" customHeight="1" x14ac:dyDescent="0.25">
      <c r="B13" s="251" t="s">
        <v>89</v>
      </c>
    </row>
    <row r="14" spans="2:2" s="246" customFormat="1" ht="25.7" customHeight="1" x14ac:dyDescent="0.25">
      <c r="B14" s="251" t="s">
        <v>90</v>
      </c>
    </row>
    <row r="15" spans="2:2" s="246" customFormat="1" ht="57.2" customHeight="1" x14ac:dyDescent="0.25">
      <c r="B15" s="250" t="s">
        <v>91</v>
      </c>
    </row>
    <row r="16" spans="2:2" s="246" customFormat="1" ht="16.5" thickBot="1" x14ac:dyDescent="0.3">
      <c r="B16" s="252" t="str">
        <f>Formulas!L49</f>
        <v xml:space="preserve">v 5.2 - Last Updated 10/01/2025   </v>
      </c>
    </row>
    <row r="17" ht="9.75" customHeight="1" x14ac:dyDescent="0.25"/>
  </sheetData>
  <printOptions horizontalCentered="1"/>
  <pageMargins left="0.5" right="0.5" top="0.75" bottom="0.5" header="0.3" footer="0.3"/>
  <pageSetup scale="65"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Gty Fee</vt:lpstr>
      <vt:lpstr>Gty Fee Instructions</vt:lpstr>
      <vt:lpstr>Formulas!Print_Area</vt:lpstr>
      <vt:lpstr>'Gty Fee'!Print_Area</vt:lpstr>
      <vt:lpstr>'Gty Fee Instructions'!Print_Area</vt:lpstr>
      <vt:lpstr>Tot_Gty_Amt</vt:lpstr>
      <vt:lpstr>Tot_Ln_Amt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Prichard, Gregory A.</dc:creator>
  <cp:lastModifiedBy>Lockaby, David M.</cp:lastModifiedBy>
  <dcterms:created xsi:type="dcterms:W3CDTF">2024-11-06T21:52:32Z</dcterms:created>
  <dcterms:modified xsi:type="dcterms:W3CDTF">2026-01-05T18:20:25Z</dcterms:modified>
</cp:coreProperties>
</file>